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lbueno\Downloads\"/>
    </mc:Choice>
  </mc:AlternateContent>
  <xr:revisionPtr revIDLastSave="0" documentId="8_{D1BF71E9-470A-42F5-8E3F-76502C5F7438}" xr6:coauthVersionLast="47" xr6:coauthVersionMax="47" xr10:uidLastSave="{00000000-0000-0000-0000-000000000000}"/>
  <bookViews>
    <workbookView xWindow="-110" yWindow="-110" windowWidth="19420" windowHeight="10300" tabRatio="855" firstSheet="2" activeTab="2" xr2:uid="{00000000-000D-0000-FFFF-FFFF00000000}"/>
  </bookViews>
  <sheets>
    <sheet name="FORMATO RIESGO" sheetId="27" state="hidden" r:id="rId1"/>
    <sheet name="PORTADA" sheetId="40" state="hidden" r:id="rId2"/>
    <sheet name="RIESGOS DE CORRUPCION" sheetId="38" r:id="rId3"/>
    <sheet name="INSTRUCTIVO" sheetId="37" r:id="rId4"/>
    <sheet name="Tabla de Valoracion" sheetId="32" r:id="rId5"/>
    <sheet name="EVALUACIÓN DEL RIESGO" sheetId="29" r:id="rId6"/>
    <sheet name="EVALUACIÓN DEL CONTROL" sheetId="30" r:id="rId7"/>
    <sheet name="TABLA DE PROBABILIDADES" sheetId="31" r:id="rId8"/>
    <sheet name="Mapa Inherente RC" sheetId="18" r:id="rId9"/>
    <sheet name="Mapa Residual RC" sheetId="19" r:id="rId10"/>
    <sheet name="Criterios" sheetId="16" r:id="rId11"/>
  </sheets>
  <externalReferences>
    <externalReference r:id="rId12"/>
  </externalReferences>
  <definedNames>
    <definedName name="_xlnm.Print_Area" localSheetId="3">INSTRUCTIVO!$A$1:$A$21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5" i="29" l="1"/>
  <c r="AN25" i="29"/>
  <c r="AM25" i="29"/>
  <c r="AN21" i="29"/>
  <c r="AM21" i="29"/>
  <c r="AN10" i="29"/>
  <c r="AM10" i="29"/>
  <c r="AO10" i="29" s="1"/>
  <c r="AP10" i="29" s="1"/>
  <c r="O48" i="30"/>
  <c r="M48" i="30"/>
  <c r="K48" i="30"/>
  <c r="I48" i="30"/>
  <c r="G48" i="30"/>
  <c r="E48" i="30"/>
  <c r="C48" i="30"/>
  <c r="O46" i="30"/>
  <c r="M46" i="30"/>
  <c r="K46" i="30"/>
  <c r="I46" i="30"/>
  <c r="G46" i="30"/>
  <c r="E46" i="30"/>
  <c r="C46" i="30"/>
  <c r="O42" i="30"/>
  <c r="M42" i="30"/>
  <c r="K42" i="30"/>
  <c r="I42" i="30"/>
  <c r="G42" i="30"/>
  <c r="E42" i="30"/>
  <c r="C42" i="30"/>
  <c r="C44" i="30" s="1"/>
  <c r="J18" i="38"/>
  <c r="K18" i="38" s="1"/>
  <c r="J19" i="38"/>
  <c r="K19" i="38" s="1"/>
  <c r="J20" i="38"/>
  <c r="K20" i="38" s="1"/>
  <c r="J21" i="38"/>
  <c r="K21" i="38" s="1"/>
  <c r="AJ20" i="38"/>
  <c r="AK20" i="38" s="1"/>
  <c r="AJ21" i="38"/>
  <c r="AK21" i="38" s="1"/>
  <c r="AJ22" i="38"/>
  <c r="AK22" i="38" s="1"/>
  <c r="AJ19" i="38"/>
  <c r="AK19" i="38" s="1"/>
  <c r="Q19" i="38"/>
  <c r="S19" i="38"/>
  <c r="U19" i="38"/>
  <c r="W19" i="38"/>
  <c r="Y19" i="38"/>
  <c r="AA19" i="38"/>
  <c r="AC19" i="38"/>
  <c r="Q20" i="38"/>
  <c r="S20" i="38"/>
  <c r="U20" i="38"/>
  <c r="W20" i="38"/>
  <c r="Y20" i="38"/>
  <c r="AA20" i="38"/>
  <c r="AC20" i="38"/>
  <c r="Q21" i="38"/>
  <c r="S21" i="38"/>
  <c r="U21" i="38"/>
  <c r="W21" i="38"/>
  <c r="Y21" i="38"/>
  <c r="AA21" i="38"/>
  <c r="AC21" i="38"/>
  <c r="Q22" i="38"/>
  <c r="S22" i="38"/>
  <c r="U22" i="38"/>
  <c r="W22" i="38"/>
  <c r="Y22" i="38"/>
  <c r="AA22" i="38"/>
  <c r="AC22" i="38"/>
  <c r="B47" i="30"/>
  <c r="B45" i="30"/>
  <c r="G44" i="30"/>
  <c r="C50" i="30"/>
  <c r="E50" i="30"/>
  <c r="G50" i="30"/>
  <c r="I50" i="30"/>
  <c r="K50" i="30"/>
  <c r="M50" i="30"/>
  <c r="O50" i="30"/>
  <c r="O40" i="30"/>
  <c r="M40" i="30"/>
  <c r="K40" i="30"/>
  <c r="I40" i="30"/>
  <c r="G40" i="30"/>
  <c r="E40" i="30"/>
  <c r="C40" i="30"/>
  <c r="I44" i="30" l="1"/>
  <c r="O44" i="30"/>
  <c r="AD22" i="38"/>
  <c r="AE22" i="38" s="1"/>
  <c r="AD20" i="38"/>
  <c r="AE20" i="38" s="1"/>
  <c r="AD21" i="38"/>
  <c r="AE21" i="38" s="1"/>
  <c r="AD19" i="38"/>
  <c r="AE19" i="38" s="1"/>
  <c r="M44" i="30"/>
  <c r="K44" i="30"/>
  <c r="Q41" i="30"/>
  <c r="R41" i="30" s="1"/>
  <c r="S41" i="30" s="1"/>
  <c r="T41" i="30" s="1"/>
  <c r="E44" i="30"/>
  <c r="Q39" i="30"/>
  <c r="R39" i="30" s="1"/>
  <c r="S39" i="30" s="1"/>
  <c r="T39" i="30" s="1"/>
  <c r="Q43" i="30" l="1"/>
  <c r="R43" i="30" s="1"/>
  <c r="S43" i="30" s="1"/>
  <c r="T43" i="30" s="1"/>
  <c r="X43" i="30" s="1"/>
  <c r="Q47" i="30"/>
  <c r="R47" i="30" s="1"/>
  <c r="S47" i="30" s="1"/>
  <c r="T47" i="30" s="1"/>
  <c r="Q45" i="30"/>
  <c r="R45" i="30" s="1"/>
  <c r="S45" i="30" s="1"/>
  <c r="T45" i="30" s="1"/>
  <c r="AM11" i="29"/>
  <c r="AO11" i="29" s="1"/>
  <c r="AP11" i="29" s="1"/>
  <c r="AN11" i="29"/>
  <c r="AM12" i="29"/>
  <c r="AN12" i="29"/>
  <c r="AO12" i="29"/>
  <c r="AP12" i="29"/>
  <c r="AM13" i="29"/>
  <c r="AO13" i="29" s="1"/>
  <c r="AP13" i="29" s="1"/>
  <c r="AN13" i="29"/>
  <c r="AM14" i="29"/>
  <c r="AO14" i="29" s="1"/>
  <c r="AP14" i="29" s="1"/>
  <c r="AN14" i="29"/>
  <c r="AM15" i="29"/>
  <c r="AN15" i="29"/>
  <c r="AO15" i="29"/>
  <c r="AP15" i="29"/>
  <c r="AM16" i="29"/>
  <c r="AO16" i="29" s="1"/>
  <c r="AP16" i="29" s="1"/>
  <c r="AN16" i="29"/>
  <c r="AM17" i="29"/>
  <c r="AO17" i="29" s="1"/>
  <c r="AP17" i="29" s="1"/>
  <c r="AN17" i="29"/>
  <c r="AM18" i="29"/>
  <c r="AO18" i="29" s="1"/>
  <c r="AP18" i="29" s="1"/>
  <c r="AN18" i="29"/>
  <c r="AM19" i="29"/>
  <c r="AO19" i="29" s="1"/>
  <c r="AP19" i="29" s="1"/>
  <c r="AN19" i="29"/>
  <c r="AM20" i="29"/>
  <c r="AN20" i="29"/>
  <c r="AO20" i="29"/>
  <c r="AP20" i="29" s="1"/>
  <c r="AO21" i="29"/>
  <c r="AP21" i="29" s="1"/>
  <c r="AM22" i="29"/>
  <c r="AO22" i="29" s="1"/>
  <c r="AP22" i="29" s="1"/>
  <c r="AN22" i="29"/>
  <c r="AM23" i="29"/>
  <c r="AO23" i="29" s="1"/>
  <c r="AP23" i="29" s="1"/>
  <c r="AN23" i="29"/>
  <c r="AM24" i="29"/>
  <c r="AN24" i="29"/>
  <c r="AO24" i="29"/>
  <c r="AP24" i="29"/>
  <c r="AO25" i="29"/>
  <c r="AP25" i="29" s="1"/>
  <c r="AM26" i="29"/>
  <c r="AN26" i="29"/>
  <c r="AO26" i="29"/>
  <c r="AP26" i="29" s="1"/>
  <c r="AR26" i="29" s="1"/>
  <c r="AS26" i="29" s="1"/>
  <c r="AM27" i="29"/>
  <c r="AO27" i="29" s="1"/>
  <c r="AP27" i="29" s="1"/>
  <c r="AN27" i="29"/>
  <c r="AQ27" i="29"/>
  <c r="B24" i="29"/>
  <c r="B43" i="30" s="1"/>
  <c r="B23" i="29"/>
  <c r="B41" i="30" s="1"/>
  <c r="B22" i="29"/>
  <c r="B39" i="30" s="1"/>
  <c r="B21" i="29"/>
  <c r="B37" i="30" s="1"/>
  <c r="B20" i="29"/>
  <c r="B35" i="30" s="1"/>
  <c r="B19" i="29"/>
  <c r="B33" i="30" s="1"/>
  <c r="B18" i="29"/>
  <c r="B31" i="30" s="1"/>
  <c r="B17" i="29"/>
  <c r="AQ18" i="29" s="1"/>
  <c r="B16" i="29"/>
  <c r="B27" i="30" s="1"/>
  <c r="B15" i="29"/>
  <c r="B25" i="30" s="1"/>
  <c r="B14" i="29"/>
  <c r="B23" i="30" s="1"/>
  <c r="B13" i="29"/>
  <c r="B21" i="30" s="1"/>
  <c r="B12" i="29"/>
  <c r="B19" i="30" s="1"/>
  <c r="B11" i="29"/>
  <c r="B17" i="30" s="1"/>
  <c r="B10" i="29"/>
  <c r="B15" i="30" l="1"/>
  <c r="AQ10" i="29"/>
  <c r="AR10" i="29" s="1"/>
  <c r="AS10" i="29" s="1"/>
  <c r="AR27" i="29"/>
  <c r="AS27" i="29" s="1"/>
  <c r="AQ15" i="29"/>
  <c r="AR15" i="29" s="1"/>
  <c r="AS15" i="29" s="1"/>
  <c r="AQ11" i="29"/>
  <c r="AR11" i="29" s="1"/>
  <c r="AS11" i="29" s="1"/>
  <c r="AQ16" i="29"/>
  <c r="AR16" i="29" s="1"/>
  <c r="AS16" i="29" s="1"/>
  <c r="AQ13" i="29"/>
  <c r="AR13" i="29" s="1"/>
  <c r="AS13" i="29" s="1"/>
  <c r="AQ19" i="29"/>
  <c r="AR19" i="29" s="1"/>
  <c r="AS19" i="29" s="1"/>
  <c r="AQ24" i="29"/>
  <c r="AR24" i="29" s="1"/>
  <c r="AS24" i="29" s="1"/>
  <c r="AQ12" i="29"/>
  <c r="AR12" i="29" s="1"/>
  <c r="AS12" i="29" s="1"/>
  <c r="AQ17" i="29"/>
  <c r="AR17" i="29" s="1"/>
  <c r="AS17" i="29" s="1"/>
  <c r="AQ14" i="29"/>
  <c r="AR14" i="29" s="1"/>
  <c r="AS14" i="29" s="1"/>
  <c r="AQ22" i="29"/>
  <c r="AR22" i="29" s="1"/>
  <c r="AS22" i="29" s="1"/>
  <c r="AR21" i="29"/>
  <c r="AS21" i="29" s="1"/>
  <c r="AQ23" i="29"/>
  <c r="AR23" i="29" s="1"/>
  <c r="AS23" i="29" s="1"/>
  <c r="AQ20" i="29"/>
  <c r="AR20" i="29" s="1"/>
  <c r="AS20" i="29" s="1"/>
  <c r="AS25" i="29"/>
  <c r="AR18" i="29"/>
  <c r="AS18" i="29" s="1"/>
  <c r="B29" i="30"/>
  <c r="G9" i="38"/>
  <c r="G10" i="38" a="1"/>
  <c r="G10" i="38" s="1"/>
  <c r="I9" i="38"/>
  <c r="Q15" i="38"/>
  <c r="AC28" i="38"/>
  <c r="Y26" i="38"/>
  <c r="Y27" i="38"/>
  <c r="Y28" i="38"/>
  <c r="AA28" i="38"/>
  <c r="W28" i="38"/>
  <c r="U28" i="38"/>
  <c r="S28" i="38"/>
  <c r="Q28" i="38"/>
  <c r="AJ28" i="38"/>
  <c r="AK28" i="38" s="1"/>
  <c r="Q27" i="38"/>
  <c r="S27" i="38"/>
  <c r="U27" i="38"/>
  <c r="W27" i="38"/>
  <c r="AA27" i="38"/>
  <c r="AC27" i="38"/>
  <c r="AJ27" i="38"/>
  <c r="AK27" i="38" s="1"/>
  <c r="J27" i="38"/>
  <c r="K27" i="38" s="1"/>
  <c r="J28" i="38"/>
  <c r="K28" i="38" s="1"/>
  <c r="AJ25" i="38"/>
  <c r="AK25" i="38" s="1"/>
  <c r="AC25" i="38"/>
  <c r="AA25" i="38"/>
  <c r="Y25" i="38"/>
  <c r="W25" i="38"/>
  <c r="U25" i="38"/>
  <c r="S25" i="38"/>
  <c r="Q25" i="38"/>
  <c r="J25" i="38"/>
  <c r="K25" i="38" s="1"/>
  <c r="B8" i="29"/>
  <c r="B10" i="30" s="1"/>
  <c r="B6" i="29"/>
  <c r="B6" i="30" s="1"/>
  <c r="B9" i="29"/>
  <c r="AQ9" i="29" s="1"/>
  <c r="B7" i="29"/>
  <c r="U45" i="30" l="1"/>
  <c r="V45" i="30" s="1"/>
  <c r="U43" i="30"/>
  <c r="V43" i="30" s="1"/>
  <c r="U47" i="30"/>
  <c r="V47" i="30" s="1"/>
  <c r="U41" i="30"/>
  <c r="V41" i="30" s="1"/>
  <c r="U39" i="30"/>
  <c r="V39" i="30" s="1"/>
  <c r="AQ7" i="29"/>
  <c r="AQ8" i="29"/>
  <c r="AQ6" i="29"/>
  <c r="AD28" i="38"/>
  <c r="AE28" i="38" s="1"/>
  <c r="AD27" i="38"/>
  <c r="AE27" i="38" s="1"/>
  <c r="AD25" i="38"/>
  <c r="AE25" i="38" s="1"/>
  <c r="AJ23" i="38"/>
  <c r="AK23" i="38" s="1"/>
  <c r="AJ24" i="38"/>
  <c r="AK24" i="38" s="1"/>
  <c r="AC23" i="38"/>
  <c r="AC24" i="38"/>
  <c r="AA24" i="38"/>
  <c r="AA23" i="38"/>
  <c r="Y23" i="38"/>
  <c r="Y24" i="38"/>
  <c r="AJ15" i="38"/>
  <c r="AK15" i="38" s="1"/>
  <c r="AC15" i="38"/>
  <c r="AA15" i="38"/>
  <c r="Y15" i="38"/>
  <c r="W15" i="38"/>
  <c r="U15" i="38"/>
  <c r="S15" i="38"/>
  <c r="J15" i="38"/>
  <c r="K15" i="38" s="1"/>
  <c r="J14" i="38"/>
  <c r="K14" i="38" s="1"/>
  <c r="AD15" i="38" l="1"/>
  <c r="AE15" i="38" s="1"/>
  <c r="AJ13" i="38" l="1"/>
  <c r="AK13" i="38" s="1"/>
  <c r="AJ14" i="38"/>
  <c r="AK14" i="38" s="1"/>
  <c r="AJ16" i="38"/>
  <c r="AK16" i="38" s="1"/>
  <c r="AJ17" i="38"/>
  <c r="AK17" i="38" s="1"/>
  <c r="AJ18" i="38"/>
  <c r="AK18" i="38" s="1"/>
  <c r="J22" i="38"/>
  <c r="K22" i="38" s="1"/>
  <c r="AC13" i="38"/>
  <c r="AC14" i="38"/>
  <c r="AC16" i="38"/>
  <c r="AC17" i="38"/>
  <c r="AC18" i="38"/>
  <c r="AA13" i="38"/>
  <c r="AA14" i="38"/>
  <c r="AA16" i="38"/>
  <c r="AA17" i="38"/>
  <c r="AA18" i="38"/>
  <c r="Y13" i="38"/>
  <c r="Y14" i="38"/>
  <c r="Y16" i="38"/>
  <c r="Y17" i="38"/>
  <c r="Y18" i="38"/>
  <c r="W13" i="38"/>
  <c r="W14" i="38"/>
  <c r="W16" i="38"/>
  <c r="W17" i="38"/>
  <c r="W18" i="38"/>
  <c r="W23" i="38"/>
  <c r="W24" i="38"/>
  <c r="U13" i="38"/>
  <c r="U14" i="38"/>
  <c r="U16" i="38"/>
  <c r="U17" i="38"/>
  <c r="U18" i="38"/>
  <c r="U23" i="38"/>
  <c r="U24" i="38"/>
  <c r="Q13" i="38"/>
  <c r="Q14" i="38"/>
  <c r="Q16" i="38"/>
  <c r="Q17" i="38"/>
  <c r="Q18" i="38"/>
  <c r="Q23" i="38"/>
  <c r="Q24" i="38"/>
  <c r="AG11" i="38"/>
  <c r="AG10" i="38"/>
  <c r="I10" i="38"/>
  <c r="J10" i="38" s="1"/>
  <c r="K10" i="38" s="1"/>
  <c r="AG12" i="38"/>
  <c r="AC12" i="38"/>
  <c r="AA12" i="38"/>
  <c r="Y12" i="38"/>
  <c r="W12" i="38"/>
  <c r="U12" i="38"/>
  <c r="Q12" i="38"/>
  <c r="J12" i="38"/>
  <c r="K12" i="38" s="1"/>
  <c r="Q11" i="38"/>
  <c r="S11" i="38"/>
  <c r="U11" i="38"/>
  <c r="W11" i="38"/>
  <c r="Y11" i="38"/>
  <c r="AA11" i="38"/>
  <c r="AC11" i="38"/>
  <c r="AC10" i="38"/>
  <c r="AA10" i="38"/>
  <c r="Y10" i="38"/>
  <c r="W10" i="38"/>
  <c r="U10" i="38"/>
  <c r="S12" i="38"/>
  <c r="S13" i="38"/>
  <c r="S14" i="38"/>
  <c r="S16" i="38"/>
  <c r="S17" i="38"/>
  <c r="S18" i="38"/>
  <c r="S23" i="38"/>
  <c r="S24" i="38"/>
  <c r="S10" i="38"/>
  <c r="Q10" i="38"/>
  <c r="AG26" i="38"/>
  <c r="AI26" i="38"/>
  <c r="AC26" i="38"/>
  <c r="AA26" i="38"/>
  <c r="W26" i="38"/>
  <c r="U26" i="38"/>
  <c r="S26" i="38"/>
  <c r="Q26" i="38"/>
  <c r="J11" i="38"/>
  <c r="K11" i="38" s="1"/>
  <c r="J13" i="38"/>
  <c r="K13" i="38" s="1"/>
  <c r="J16" i="38"/>
  <c r="K16" i="38" s="1"/>
  <c r="J17" i="38"/>
  <c r="K17" i="38" s="1"/>
  <c r="J23" i="38"/>
  <c r="K23" i="38" s="1"/>
  <c r="J24" i="38"/>
  <c r="K24" i="38" s="1"/>
  <c r="J26" i="38"/>
  <c r="K26" i="38" s="1"/>
  <c r="AG9" i="38"/>
  <c r="AC9" i="38"/>
  <c r="AA9" i="38"/>
  <c r="Y9" i="38"/>
  <c r="W9" i="38"/>
  <c r="U9" i="38"/>
  <c r="S9" i="38"/>
  <c r="Q9" i="38"/>
  <c r="J9" i="38"/>
  <c r="K9" i="38" s="1"/>
  <c r="AI8" i="27"/>
  <c r="AG8" i="27"/>
  <c r="AC8" i="27"/>
  <c r="AA8" i="27"/>
  <c r="Y8" i="27"/>
  <c r="W8" i="27"/>
  <c r="U8" i="27"/>
  <c r="S8" i="27"/>
  <c r="Q8" i="27"/>
  <c r="AD24" i="38" l="1"/>
  <c r="AE24" i="38" s="1"/>
  <c r="AD23" i="38"/>
  <c r="AE23" i="38" s="1"/>
  <c r="AD18" i="38"/>
  <c r="AE18" i="38" s="1"/>
  <c r="AD13" i="38"/>
  <c r="AE13" i="38" s="1"/>
  <c r="AD14" i="38"/>
  <c r="AE14" i="38" s="1"/>
  <c r="AD16" i="38"/>
  <c r="AE16" i="38" s="1"/>
  <c r="AD17" i="38"/>
  <c r="AE17" i="38" s="1"/>
  <c r="AJ11" i="38"/>
  <c r="AK11" i="38" s="1"/>
  <c r="AD12" i="38"/>
  <c r="AE12" i="38" s="1"/>
  <c r="AJ26" i="38"/>
  <c r="AK26" i="38" s="1"/>
  <c r="AJ10" i="38"/>
  <c r="AK10" i="38" s="1"/>
  <c r="AD9" i="38"/>
  <c r="AE9" i="38" s="1"/>
  <c r="AD10" i="38"/>
  <c r="AE10" i="38" s="1"/>
  <c r="AJ12" i="38"/>
  <c r="AK12" i="38" s="1"/>
  <c r="AD26" i="38"/>
  <c r="AE26" i="38" s="1"/>
  <c r="AJ9" i="38"/>
  <c r="AK9" i="38" s="1"/>
  <c r="AD11" i="38"/>
  <c r="AE11" i="38" s="1"/>
  <c r="AJ8" i="27"/>
  <c r="AK8" i="27" s="1"/>
  <c r="AD8" i="27"/>
  <c r="AE8" i="27" s="1"/>
  <c r="I8" i="27"/>
  <c r="G8" i="27"/>
  <c r="J8" i="27" l="1"/>
  <c r="K8" i="27" s="1"/>
  <c r="D5" i="32" l="1"/>
  <c r="I22" i="32" s="1"/>
  <c r="E5" i="32"/>
  <c r="I21" i="32" s="1"/>
  <c r="F5" i="32"/>
  <c r="I20" i="32" s="1"/>
  <c r="D6" i="32"/>
  <c r="I19" i="32" s="1"/>
  <c r="E6" i="32"/>
  <c r="I18" i="32" s="1"/>
  <c r="F6" i="32"/>
  <c r="I17" i="32" s="1"/>
  <c r="D7" i="32"/>
  <c r="I16" i="32" s="1"/>
  <c r="E7" i="32"/>
  <c r="I15" i="32" s="1"/>
  <c r="F7" i="32"/>
  <c r="I14" i="32" s="1"/>
  <c r="D8" i="32"/>
  <c r="I13" i="32" s="1"/>
  <c r="E8" i="32"/>
  <c r="I12" i="32" s="1"/>
  <c r="F8" i="32"/>
  <c r="I11" i="32" s="1"/>
  <c r="E4" i="32"/>
  <c r="I24" i="32" s="1"/>
  <c r="F4" i="32"/>
  <c r="I23" i="32" s="1"/>
  <c r="D4" i="32"/>
  <c r="I25" i="32" s="1"/>
  <c r="B8" i="30" l="1"/>
  <c r="B12" i="30"/>
  <c r="AF38" i="30"/>
  <c r="O38" i="30"/>
  <c r="M38" i="30"/>
  <c r="K38" i="30"/>
  <c r="I38" i="30"/>
  <c r="G38" i="30"/>
  <c r="E38" i="30"/>
  <c r="C38" i="30"/>
  <c r="AF37" i="30"/>
  <c r="AF36" i="30"/>
  <c r="O36" i="30"/>
  <c r="M36" i="30"/>
  <c r="K36" i="30"/>
  <c r="I36" i="30"/>
  <c r="G36" i="30"/>
  <c r="E36" i="30"/>
  <c r="C36" i="30"/>
  <c r="AF35" i="30"/>
  <c r="AF34" i="30"/>
  <c r="O34" i="30"/>
  <c r="M34" i="30"/>
  <c r="K34" i="30"/>
  <c r="I34" i="30"/>
  <c r="G34" i="30"/>
  <c r="E34" i="30"/>
  <c r="C34" i="30"/>
  <c r="AF33" i="30"/>
  <c r="AF32" i="30"/>
  <c r="O32" i="30"/>
  <c r="M32" i="30"/>
  <c r="K32" i="30"/>
  <c r="I32" i="30"/>
  <c r="G32" i="30"/>
  <c r="E32" i="30"/>
  <c r="C32" i="30"/>
  <c r="AF31" i="30"/>
  <c r="AF30" i="30"/>
  <c r="O30" i="30"/>
  <c r="M30" i="30"/>
  <c r="K30" i="30"/>
  <c r="I30" i="30"/>
  <c r="G30" i="30"/>
  <c r="E30" i="30"/>
  <c r="C30" i="30"/>
  <c r="O28" i="30"/>
  <c r="M28" i="30"/>
  <c r="K28" i="30"/>
  <c r="I28" i="30"/>
  <c r="G28" i="30"/>
  <c r="E28" i="30"/>
  <c r="C28" i="30"/>
  <c r="O26" i="30"/>
  <c r="M26" i="30"/>
  <c r="K26" i="30"/>
  <c r="I26" i="30"/>
  <c r="G26" i="30"/>
  <c r="E26" i="30"/>
  <c r="C26" i="30"/>
  <c r="AF25" i="30"/>
  <c r="AF24" i="30"/>
  <c r="O24" i="30"/>
  <c r="M24" i="30"/>
  <c r="K24" i="30"/>
  <c r="I24" i="30"/>
  <c r="G24" i="30"/>
  <c r="E24" i="30"/>
  <c r="C24" i="30"/>
  <c r="AF23" i="30"/>
  <c r="AF22" i="30"/>
  <c r="O22" i="30"/>
  <c r="M22" i="30"/>
  <c r="K22" i="30"/>
  <c r="I22" i="30"/>
  <c r="G22" i="30"/>
  <c r="E22" i="30"/>
  <c r="C22" i="30"/>
  <c r="AF21" i="30"/>
  <c r="AF20" i="30"/>
  <c r="O20" i="30"/>
  <c r="M20" i="30"/>
  <c r="K20" i="30"/>
  <c r="I20" i="30"/>
  <c r="G20" i="30"/>
  <c r="E20" i="30"/>
  <c r="C20" i="30"/>
  <c r="AF19" i="30"/>
  <c r="AF18" i="30"/>
  <c r="O18" i="30"/>
  <c r="M18" i="30"/>
  <c r="K18" i="30"/>
  <c r="I18" i="30"/>
  <c r="G18" i="30"/>
  <c r="E18" i="30"/>
  <c r="C18" i="30"/>
  <c r="AF17" i="30"/>
  <c r="AF16" i="30"/>
  <c r="O16" i="30"/>
  <c r="M16" i="30"/>
  <c r="K16" i="30"/>
  <c r="I16" i="30"/>
  <c r="G16" i="30"/>
  <c r="E16" i="30"/>
  <c r="C16" i="30"/>
  <c r="AF15" i="30"/>
  <c r="AF14" i="30"/>
  <c r="AF13" i="30"/>
  <c r="O13" i="30"/>
  <c r="M13" i="30"/>
  <c r="K13" i="30"/>
  <c r="I13" i="30"/>
  <c r="G13" i="30"/>
  <c r="E13" i="30"/>
  <c r="C13" i="30"/>
  <c r="AF12" i="30"/>
  <c r="O11" i="30"/>
  <c r="M11" i="30"/>
  <c r="K11" i="30"/>
  <c r="I11" i="30"/>
  <c r="G11" i="30"/>
  <c r="E11" i="30"/>
  <c r="C11" i="30"/>
  <c r="O9" i="30"/>
  <c r="M9" i="30"/>
  <c r="K9" i="30"/>
  <c r="I9" i="30"/>
  <c r="G9" i="30"/>
  <c r="E9" i="30"/>
  <c r="C9" i="30"/>
  <c r="O7" i="30"/>
  <c r="M7" i="30"/>
  <c r="K7" i="30"/>
  <c r="I7" i="30"/>
  <c r="G7" i="30"/>
  <c r="E7" i="30"/>
  <c r="C7" i="30"/>
  <c r="AN9" i="29"/>
  <c r="AM9" i="29"/>
  <c r="AO9" i="29" s="1"/>
  <c r="AP9" i="29" s="1"/>
  <c r="AR9" i="29" s="1"/>
  <c r="AS9" i="29" s="1"/>
  <c r="AN8" i="29"/>
  <c r="AM8" i="29"/>
  <c r="AO8" i="29" s="1"/>
  <c r="AP8" i="29" s="1"/>
  <c r="AR8" i="29" s="1"/>
  <c r="AS8" i="29" s="1"/>
  <c r="AN7" i="29"/>
  <c r="AM7" i="29"/>
  <c r="AO7" i="29" s="1"/>
  <c r="AP7" i="29" s="1"/>
  <c r="AR7" i="29" s="1"/>
  <c r="AS7" i="29" s="1"/>
  <c r="AN6" i="29"/>
  <c r="AM6" i="29"/>
  <c r="AO6" i="29" s="1"/>
  <c r="AP6" i="29" s="1"/>
  <c r="W47" i="30" l="1"/>
  <c r="X47" i="30" s="1"/>
  <c r="W45" i="30"/>
  <c r="X45" i="30" s="1"/>
  <c r="Y47" i="30"/>
  <c r="Y45" i="30"/>
  <c r="Y43" i="30"/>
  <c r="W41" i="30"/>
  <c r="X41" i="30" s="1"/>
  <c r="W39" i="30"/>
  <c r="X39" i="30" s="1"/>
  <c r="Y41" i="30"/>
  <c r="Y39" i="30"/>
  <c r="Q17" i="30"/>
  <c r="R17" i="30" s="1"/>
  <c r="Q27" i="30"/>
  <c r="R27" i="30" s="1"/>
  <c r="S27" i="30" s="1"/>
  <c r="Q33" i="30"/>
  <c r="R33" i="30" s="1"/>
  <c r="S33" i="30" s="1"/>
  <c r="Q31" i="30"/>
  <c r="R31" i="30" s="1"/>
  <c r="S31" i="30" s="1"/>
  <c r="AR6" i="29"/>
  <c r="AS6" i="29" s="1"/>
  <c r="U19" i="30"/>
  <c r="Q37" i="30"/>
  <c r="R37" i="30" s="1"/>
  <c r="Q35" i="30"/>
  <c r="R35" i="30" s="1"/>
  <c r="S35" i="30" s="1"/>
  <c r="Q29" i="30"/>
  <c r="R29" i="30" s="1"/>
  <c r="S29" i="30" s="1"/>
  <c r="Q25" i="30"/>
  <c r="R25" i="30" s="1"/>
  <c r="S25" i="30" s="1"/>
  <c r="Q23" i="30"/>
  <c r="R23" i="30" s="1"/>
  <c r="S23" i="30" s="1"/>
  <c r="Q21" i="30"/>
  <c r="R21" i="30" s="1"/>
  <c r="Q19" i="30"/>
  <c r="R19" i="30" s="1"/>
  <c r="S19" i="30" s="1"/>
  <c r="Q15" i="30"/>
  <c r="R15" i="30" s="1"/>
  <c r="S15" i="30" s="1"/>
  <c r="Q12" i="30"/>
  <c r="R12" i="30" s="1"/>
  <c r="S12" i="30" s="1"/>
  <c r="Q10" i="30"/>
  <c r="R10" i="30" s="1"/>
  <c r="Q8" i="30"/>
  <c r="R8" i="30" s="1"/>
  <c r="S8" i="30" s="1"/>
  <c r="Q6" i="30"/>
  <c r="R6" i="30" s="1"/>
  <c r="S6" i="30" s="1"/>
  <c r="U37" i="30"/>
  <c r="U17" i="30"/>
  <c r="U8" i="30"/>
  <c r="U10" i="30"/>
  <c r="U21" i="30"/>
  <c r="U12" i="30"/>
  <c r="AA43" i="30" l="1"/>
  <c r="AB43" i="30" s="1"/>
  <c r="Z43" i="30"/>
  <c r="AA45" i="30"/>
  <c r="AB45" i="30" s="1"/>
  <c r="Z45" i="30"/>
  <c r="AA47" i="30"/>
  <c r="AB47" i="30" s="1"/>
  <c r="Z47" i="30"/>
  <c r="AA41" i="30"/>
  <c r="AB41" i="30" s="1"/>
  <c r="Z41" i="30"/>
  <c r="S10" i="30"/>
  <c r="T10" i="30" s="1"/>
  <c r="W10" i="30" s="1"/>
  <c r="X10" i="30" s="1"/>
  <c r="S17" i="30"/>
  <c r="T17" i="30" s="1"/>
  <c r="W17" i="30" s="1"/>
  <c r="X17" i="30" s="1"/>
  <c r="S21" i="30"/>
  <c r="T21" i="30" s="1"/>
  <c r="W21" i="30" s="1"/>
  <c r="X21" i="30" s="1"/>
  <c r="AA39" i="30"/>
  <c r="AB39" i="30" s="1"/>
  <c r="Z39" i="30"/>
  <c r="S37" i="30"/>
  <c r="T37" i="30" s="1"/>
  <c r="W37" i="30" s="1"/>
  <c r="X37" i="30" s="1"/>
  <c r="U29" i="30"/>
  <c r="V29" i="30" s="1"/>
  <c r="Y29" i="30" s="1"/>
  <c r="Z29" i="30" s="1"/>
  <c r="T29" i="30"/>
  <c r="W29" i="30" s="1"/>
  <c r="X29" i="30" s="1"/>
  <c r="T19" i="30"/>
  <c r="W19" i="30" s="1"/>
  <c r="X19" i="30" s="1"/>
  <c r="V17" i="30"/>
  <c r="Y17" i="30" s="1"/>
  <c r="T33" i="30"/>
  <c r="W33" i="30" s="1"/>
  <c r="X33" i="30" s="1"/>
  <c r="T27" i="30"/>
  <c r="W27" i="30" s="1"/>
  <c r="X27" i="30" s="1"/>
  <c r="T31" i="30"/>
  <c r="W31" i="30" s="1"/>
  <c r="X31" i="30" s="1"/>
  <c r="U31" i="30"/>
  <c r="V31" i="30" s="1"/>
  <c r="Y31" i="30" s="1"/>
  <c r="Z31" i="30" s="1"/>
  <c r="U15" i="30"/>
  <c r="V15" i="30" s="1"/>
  <c r="Y15" i="30" s="1"/>
  <c r="U33" i="30"/>
  <c r="V33" i="30" s="1"/>
  <c r="Y33" i="30" s="1"/>
  <c r="Z33" i="30" s="1"/>
  <c r="U6" i="30"/>
  <c r="V6" i="30" s="1"/>
  <c r="Y6" i="30" s="1"/>
  <c r="Z6" i="30" s="1"/>
  <c r="U23" i="30"/>
  <c r="V23" i="30" s="1"/>
  <c r="Y23" i="30" s="1"/>
  <c r="Z23" i="30" s="1"/>
  <c r="U35" i="30"/>
  <c r="V35" i="30" s="1"/>
  <c r="Y35" i="30" s="1"/>
  <c r="Z35" i="30" s="1"/>
  <c r="U27" i="30"/>
  <c r="V27" i="30" s="1"/>
  <c r="Y27" i="30" s="1"/>
  <c r="Z27" i="30" s="1"/>
  <c r="U25" i="30"/>
  <c r="V25" i="30" s="1"/>
  <c r="Y25" i="30" s="1"/>
  <c r="T25" i="30"/>
  <c r="W25" i="30" s="1"/>
  <c r="X25" i="30" s="1"/>
  <c r="T15" i="30"/>
  <c r="W15" i="30" s="1"/>
  <c r="X15" i="30" s="1"/>
  <c r="T6" i="30"/>
  <c r="W6" i="30" s="1"/>
  <c r="X6" i="30" s="1"/>
  <c r="V37" i="30"/>
  <c r="Y37" i="30" s="1"/>
  <c r="Z37" i="30" s="1"/>
  <c r="T35" i="30"/>
  <c r="W35" i="30" s="1"/>
  <c r="X35" i="30" s="1"/>
  <c r="T23" i="30"/>
  <c r="W23" i="30" s="1"/>
  <c r="X23" i="30" s="1"/>
  <c r="V21" i="30"/>
  <c r="Y21" i="30" s="1"/>
  <c r="Z21" i="30" s="1"/>
  <c r="V19" i="30"/>
  <c r="Y19" i="30" s="1"/>
  <c r="V12" i="30"/>
  <c r="Y12" i="30" s="1"/>
  <c r="Z12" i="30" s="1"/>
  <c r="T12" i="30"/>
  <c r="W12" i="30" s="1"/>
  <c r="X12" i="30" s="1"/>
  <c r="V10" i="30"/>
  <c r="Y10" i="30" s="1"/>
  <c r="Z10" i="30" s="1"/>
  <c r="T8" i="30"/>
  <c r="V8" i="30"/>
  <c r="Y8" i="30" s="1"/>
  <c r="AA17" i="30" l="1"/>
  <c r="AB17" i="30" s="1"/>
  <c r="W8" i="30"/>
  <c r="X8" i="30" s="1"/>
  <c r="AA29" i="30"/>
  <c r="AB29" i="30" s="1"/>
  <c r="Z17" i="30"/>
  <c r="AA31" i="30"/>
  <c r="AB31" i="30" s="1"/>
  <c r="AA33" i="30"/>
  <c r="AB33" i="30" s="1"/>
  <c r="AA27" i="30"/>
  <c r="AB27" i="30" s="1"/>
  <c r="AA15" i="30"/>
  <c r="AB15" i="30" s="1"/>
  <c r="AA6" i="30"/>
  <c r="AB6" i="30" s="1"/>
  <c r="AA25" i="30"/>
  <c r="AB25" i="30" s="1"/>
  <c r="AA37" i="30"/>
  <c r="AB37" i="30" s="1"/>
  <c r="Z25" i="30"/>
  <c r="Z15" i="30"/>
  <c r="AA19" i="30"/>
  <c r="AB19" i="30" s="1"/>
  <c r="AA35" i="30"/>
  <c r="AB35" i="30" s="1"/>
  <c r="AA23" i="30"/>
  <c r="AB23" i="30" s="1"/>
  <c r="AA21" i="30"/>
  <c r="AB21" i="30" s="1"/>
  <c r="Z19" i="30"/>
  <c r="AA12" i="30"/>
  <c r="AB12" i="30" s="1"/>
  <c r="AA10" i="30"/>
  <c r="AB10" i="30" s="1"/>
  <c r="Z8" i="30"/>
  <c r="AA8" i="30" l="1"/>
  <c r="AB8"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<sst xmlns="http://schemas.openxmlformats.org/spreadsheetml/2006/main" count="1427" uniqueCount="448">
  <si>
    <t>Bajo</t>
  </si>
  <si>
    <t>Alto</t>
  </si>
  <si>
    <t>Moderado</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</si>
  <si>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</si>
  <si>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</si>
  <si>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</si>
  <si>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</si>
  <si>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</si>
  <si>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</si>
  <si>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</si>
  <si>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</si>
  <si>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</si>
  <si>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</si>
  <si>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</si>
  <si>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</si>
  <si>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</si>
  <si>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</si>
  <si>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</si>
  <si>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</si>
  <si>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</si>
  <si>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</si>
  <si>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</si>
  <si>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</si>
  <si>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</si>
  <si>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</si>
  <si>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</si>
  <si>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</si>
  <si>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</si>
  <si>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</si>
  <si>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</si>
  <si>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</si>
  <si>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</si>
  <si>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</si>
  <si>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</si>
  <si>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</si>
  <si>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</si>
  <si>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</si>
  <si>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Objetivo</t>
  </si>
  <si>
    <t>Riesgo</t>
  </si>
  <si>
    <t>Análisis del Riesgo</t>
  </si>
  <si>
    <t>RIESGO INHERENTE</t>
  </si>
  <si>
    <t>Zona de Riesgo</t>
  </si>
  <si>
    <t>Indicador</t>
  </si>
  <si>
    <t>IDENTIFICACIÓN DEL RIESGO</t>
  </si>
  <si>
    <t>VALORACIÓN DEL RIESGO</t>
  </si>
  <si>
    <t>3. Posible</t>
  </si>
  <si>
    <t>4. Mayor</t>
  </si>
  <si>
    <t>2. Improbable</t>
  </si>
  <si>
    <t>Casi seguro
5</t>
  </si>
  <si>
    <t>Probable
4</t>
  </si>
  <si>
    <t>Posible
3</t>
  </si>
  <si>
    <t>Improbable
2</t>
  </si>
  <si>
    <t>calificacion probabilidad</t>
  </si>
  <si>
    <t>calificacion Impacto</t>
  </si>
  <si>
    <t>Tipo de impacto</t>
  </si>
  <si>
    <t>5. Casi seguro</t>
  </si>
  <si>
    <t>5. Catastrófico</t>
  </si>
  <si>
    <t>4. Probable</t>
  </si>
  <si>
    <t>3. Moderado</t>
  </si>
  <si>
    <t>2. Menor</t>
  </si>
  <si>
    <t>1. Insignificante</t>
  </si>
  <si>
    <t>Corrupción</t>
  </si>
  <si>
    <t>Directamenta</t>
  </si>
  <si>
    <t>Indirectamenta</t>
  </si>
  <si>
    <t>Directamente</t>
  </si>
  <si>
    <t>Indirectamente</t>
  </si>
  <si>
    <t>No disminuye</t>
  </si>
  <si>
    <t>Reducir el riesgo</t>
  </si>
  <si>
    <t>Compartir el riesgo</t>
  </si>
  <si>
    <t>Gerencial</t>
  </si>
  <si>
    <t>Imagen / Reputacional</t>
  </si>
  <si>
    <t>Seguridad Digital</t>
  </si>
  <si>
    <t>Económico y Financiero</t>
  </si>
  <si>
    <t>Social y Cultural</t>
  </si>
  <si>
    <t>Legal y Reglamentario</t>
  </si>
  <si>
    <t>Personal</t>
  </si>
  <si>
    <t>Financieros</t>
  </si>
  <si>
    <t>Procesos</t>
  </si>
  <si>
    <t>Estratégicos</t>
  </si>
  <si>
    <t>Tecnología</t>
  </si>
  <si>
    <t>Comunicación Interna</t>
  </si>
  <si>
    <t>Contexto del Proceso</t>
  </si>
  <si>
    <t>Diseño del proceso</t>
  </si>
  <si>
    <t>Interacciones con otros procesos</t>
  </si>
  <si>
    <t>Transversalidad</t>
  </si>
  <si>
    <t>Procedimientos asociados</t>
  </si>
  <si>
    <t>Responsables del proceso</t>
  </si>
  <si>
    <t>Comunicación entre procesos</t>
  </si>
  <si>
    <t>Activos de seguridad digital del proceso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</si>
  <si>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</si>
  <si>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</si>
  <si>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</si>
  <si>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</si>
  <si>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</si>
  <si>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</si>
  <si>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</si>
  <si>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</si>
  <si>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</si>
  <si>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</si>
  <si>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</si>
  <si>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</si>
  <si>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</si>
  <si>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</si>
  <si>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</si>
  <si>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</si>
  <si>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</si>
  <si>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</si>
  <si>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</si>
  <si>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</si>
  <si>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</si>
  <si>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</si>
  <si>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</si>
  <si>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</si>
  <si>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</si>
  <si>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</si>
  <si>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</si>
  <si>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</si>
  <si>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</si>
  <si>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</si>
  <si>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</si>
  <si>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</si>
  <si>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</si>
  <si>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</si>
  <si>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</si>
  <si>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</si>
  <si>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</si>
  <si>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</si>
  <si>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</si>
  <si>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</si>
  <si>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</si>
  <si>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</si>
  <si>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</si>
  <si>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Rara vez
1</t>
  </si>
  <si>
    <t>Manipular desde el punto de vista técnico, negociaciones con proveedores o Aliados, para beneficio propio o de terceros.</t>
  </si>
  <si>
    <t>FORMATO PARA DETERMINAR EL IMPACTO</t>
  </si>
  <si>
    <r>
      <rPr>
        <b/>
        <sz val="11"/>
        <color theme="0"/>
        <rFont val="Century Gothic"/>
        <family val="2"/>
        <scheme val="minor"/>
      </rPr>
      <t>MEDICIÓN DEL RIESGO DE CORRUPCIÓN</t>
    </r>
    <r>
      <rPr>
        <sz val="11"/>
        <color theme="0"/>
        <rFont val="Century Gothic"/>
        <family val="2"/>
        <scheme val="minor"/>
      </rPr>
      <t xml:space="preserve">
</t>
    </r>
    <r>
      <rPr>
        <sz val="8"/>
        <color theme="0"/>
        <rFont val="Century Gothic"/>
        <family val="2"/>
        <scheme val="minor"/>
      </rPr>
      <t>PROBABILIDAD</t>
    </r>
  </si>
  <si>
    <t>N°</t>
  </si>
  <si>
    <t>TOTAL SI</t>
  </si>
  <si>
    <t>TOTAL NO</t>
  </si>
  <si>
    <t>CALIFICACIÓN DE IMPACTO</t>
  </si>
  <si>
    <t>EQUIVALENTE DE CALIFICACIÓN DE IMPACTO</t>
  </si>
  <si>
    <t>EQUIVALENTE DE CALIFICACIÓN DE PROBABILIDAD</t>
  </si>
  <si>
    <t>EQUIVALENTE EN ZONA DE RIESGO</t>
  </si>
  <si>
    <t>ZONA DE RIESGO</t>
  </si>
  <si>
    <t>DESCRIPTOR</t>
  </si>
  <si>
    <t>DESCRIPCIÓN</t>
  </si>
  <si>
    <t>NIVEL</t>
  </si>
  <si>
    <r>
      <rPr>
        <b/>
        <sz val="11"/>
        <color theme="0"/>
        <rFont val="Century Gothic"/>
        <family val="2"/>
        <scheme val="minor"/>
      </rPr>
      <t>PREGUNTA</t>
    </r>
    <r>
      <rPr>
        <sz val="11"/>
        <color theme="0"/>
        <rFont val="Century Gothic"/>
        <family val="2"/>
        <scheme val="minor"/>
      </rPr>
      <t xml:space="preserve">
Si el riesgo de corrupción se materializa podría…</t>
    </r>
  </si>
  <si>
    <t>¿Afectar al grupo de funcionarios del proceso?</t>
  </si>
  <si>
    <t>¿Afectar el cumplimiento de metas y objetivos de la dependencia?</t>
  </si>
  <si>
    <t>¿Afectar el cumplimiento de la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</si>
  <si>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</si>
  <si>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</si>
  <si>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</si>
  <si>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</si>
  <si>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pérdida del bien o servicio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</si>
  <si>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</si>
  <si>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</si>
  <si>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</si>
  <si>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</si>
  <si>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</si>
  <si>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</si>
  <si>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</si>
  <si>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</si>
  <si>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</si>
  <si>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</si>
  <si>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r>
      <rPr>
        <b/>
        <sz val="11"/>
        <color theme="1"/>
        <rFont val="Century Gothic"/>
        <family val="2"/>
        <scheme val="minor"/>
      </rPr>
      <t>Afectación parcial al proceso y a la dependencia</t>
    </r>
    <r>
      <rPr>
        <sz val="11"/>
        <color theme="1"/>
        <rFont val="Century Gothic"/>
        <family val="2"/>
        <scheme val="minor"/>
      </rPr>
      <t xml:space="preserve">
Genera medianas consecuencias para la entidad</t>
    </r>
  </si>
  <si>
    <t>(01 - 05)</t>
  </si>
  <si>
    <t>RIESGO</t>
  </si>
  <si>
    <t>SI</t>
  </si>
  <si>
    <t>NO</t>
  </si>
  <si>
    <r>
      <rPr>
        <b/>
        <sz val="11"/>
        <color theme="1"/>
        <rFont val="Century Gothic"/>
        <family val="2"/>
        <scheme val="minor"/>
      </rPr>
      <t xml:space="preserve">Impacto negativo a la Entidad </t>
    </r>
    <r>
      <rPr>
        <sz val="11"/>
        <color theme="1"/>
        <rFont val="Century Gothic"/>
        <family val="2"/>
        <scheme val="minor"/>
      </rPr>
      <t xml:space="preserve">
Genera altas consecuencias para la entidad</t>
    </r>
  </si>
  <si>
    <t>(06 - 10)</t>
  </si>
  <si>
    <r>
      <rPr>
        <b/>
        <sz val="11"/>
        <color theme="1"/>
        <rFont val="Century Gothic"/>
        <family val="2"/>
        <scheme val="minor"/>
      </rPr>
      <t>Consecuencias desastrosas sobre la Entidad</t>
    </r>
    <r>
      <rPr>
        <sz val="11"/>
        <color theme="1"/>
        <rFont val="Century Gothic"/>
        <family val="2"/>
        <scheme val="minor"/>
      </rPr>
      <t xml:space="preserve">
Genera consecuencias desastrosas para la entidad</t>
    </r>
  </si>
  <si>
    <t>VALORACIONES DE ZONA DE RIESGO</t>
  </si>
  <si>
    <t>PUNTAJE</t>
  </si>
  <si>
    <t>OBSERVACIONES</t>
  </si>
  <si>
    <t>Estos riesgos pueden ser eliminados o reducidos</t>
  </si>
  <si>
    <t>ZONA DE RIESGO BAJA</t>
  </si>
  <si>
    <t>Deben tomarse medidas necesarias para llevar los riesgos a zonas bajas o eliminarlo</t>
  </si>
  <si>
    <t>ZONA DE RIESGO MODERADA</t>
  </si>
  <si>
    <t>Deben tomarse las medidas necesarias para llevar los riesgos a la zona de riesgo moderada, baja o eliminarlo</t>
  </si>
  <si>
    <t>ZONA DE RIESGO ALTA</t>
  </si>
  <si>
    <t>Los riesgos de corrupción de la zona de riesgo extrema requieren de un tratamiento prioritario. Se deben implementar controles orientados a reducir la probabilidad de ocurrencia del riesgo o dismnuir el impacto de sus efectos y tomar medidas de protección</t>
  </si>
  <si>
    <t>ZONA DE RIESGO EXTREMA</t>
  </si>
  <si>
    <t>EVALUACIÓN DEL CONTROL DEL RIESGO ANTICORRUPCIÓN</t>
  </si>
  <si>
    <t>CALIFICACIÓN DE LOS CONTROLES</t>
  </si>
  <si>
    <t>EQUIVALENTE DE CALIFICACIÓN DEL CONTROL</t>
  </si>
  <si>
    <t>PUNTAJE A DISMINUIR SOBRE LA ZONA DE RIESGO</t>
  </si>
  <si>
    <t>EQUIVALENTE DE PROBABILIDAD ACTUAL</t>
  </si>
  <si>
    <t>VALOR EQUIVALENTE DE PROBABILIDAD ACTUAL</t>
  </si>
  <si>
    <t>EQUIVALENTE DE IMPACTO ACTUAL</t>
  </si>
  <si>
    <t>VALOR EQUIVALENTE DE IMPACTO ACTUAL</t>
  </si>
  <si>
    <t>NUEVO EQUIVALENTE DE PROBABILIDAD DEL RIESGO RESIDUAL</t>
  </si>
  <si>
    <t>NUEVA PROBABILIDAD DEL RIESGO RESIDUAL</t>
  </si>
  <si>
    <t>NUEVO EQUIVALENTE DEL IMPACTO DEL RIESGO RESIDUAL</t>
  </si>
  <si>
    <t>NUEVO IMPACTO DEL RIESGO RESIDUAL</t>
  </si>
  <si>
    <t>NUEVO EQUIVALENTE DE ZONA DE RIESGO</t>
  </si>
  <si>
    <t>NUEVA ZONA DE RIESGO</t>
  </si>
  <si>
    <t>CALIFICACIÓN</t>
  </si>
  <si>
    <t>PUNTAJES DE DISMINUCIÓN</t>
  </si>
  <si>
    <t>CRITERIOS DE EVALUACIÓN DEL CONTROL DEL RIESGO</t>
  </si>
  <si>
    <t>¿Existen manuales, instructivos o procedimientos para el manejo del control? (15)</t>
  </si>
  <si>
    <t>¿Está(n) definido(s) el(los) responsable(s) de la ejecución del control y del seguimiento? (5)</t>
  </si>
  <si>
    <t>¿El control es automático? (15)</t>
  </si>
  <si>
    <t>¿El control es manual? (10)</t>
  </si>
  <si>
    <t>¿La frecuencia de la ejecución del control y seguimiento es adecuada? (15)</t>
  </si>
  <si>
    <t>¿Se cuenta con evidencias de la ejecución y seguimiento del control? (10)</t>
  </si>
  <si>
    <t>¿En el tiempo que lleva la herramienta ha demostrado ser efectiva? (30)</t>
  </si>
  <si>
    <t>0 A 50</t>
  </si>
  <si>
    <t>51 A 75</t>
  </si>
  <si>
    <t>76 A 100</t>
  </si>
  <si>
    <t>CAMBIO DE PROBABILIDADES</t>
  </si>
  <si>
    <t>PUNTAJE A DISMINUIR</t>
  </si>
  <si>
    <t>VALOR</t>
  </si>
  <si>
    <t>PUNTAJE NUEVO</t>
  </si>
  <si>
    <t>IMPACTO</t>
  </si>
  <si>
    <t>FRECUENCIA</t>
  </si>
  <si>
    <t>Rara Vez</t>
  </si>
  <si>
    <r>
      <rPr>
        <b/>
        <sz val="11"/>
        <color theme="1"/>
        <rFont val="Century Gothic"/>
        <family val="2"/>
        <scheme val="minor"/>
      </rPr>
      <t xml:space="preserve">Excepcional </t>
    </r>
    <r>
      <rPr>
        <sz val="11"/>
        <color theme="1"/>
        <rFont val="Century Gothic"/>
        <family val="2"/>
        <scheme val="minor"/>
      </rPr>
      <t xml:space="preserve">
Ocurre en excepciones</t>
    </r>
  </si>
  <si>
    <t>No se ha presentado en los últimos 5 años.</t>
  </si>
  <si>
    <t>Improbable</t>
  </si>
  <si>
    <r>
      <rPr>
        <b/>
        <sz val="11"/>
        <color theme="1"/>
        <rFont val="Century Gothic"/>
        <family val="2"/>
        <scheme val="minor"/>
      </rPr>
      <t>Improbable</t>
    </r>
    <r>
      <rPr>
        <sz val="11"/>
        <color theme="1"/>
        <rFont val="Century Gothic"/>
        <family val="2"/>
        <scheme val="minor"/>
      </rPr>
      <t xml:space="preserve">
Puede ocurrir</t>
    </r>
  </si>
  <si>
    <t xml:space="preserve">Se presentó una vez en los últimos 5 años. </t>
  </si>
  <si>
    <t>Posible</t>
  </si>
  <si>
    <r>
      <rPr>
        <b/>
        <sz val="11"/>
        <color theme="1"/>
        <rFont val="Century Gothic"/>
        <family val="2"/>
        <scheme val="minor"/>
      </rPr>
      <t>Posible</t>
    </r>
    <r>
      <rPr>
        <sz val="11"/>
        <color theme="1"/>
        <rFont val="Century Gothic"/>
        <family val="2"/>
        <scheme val="minor"/>
      </rPr>
      <t xml:space="preserve">
Es posible que suceda</t>
    </r>
  </si>
  <si>
    <t>Se presentó una vez en los últimos 2 años.</t>
  </si>
  <si>
    <t>Probable</t>
  </si>
  <si>
    <r>
      <rPr>
        <b/>
        <sz val="11"/>
        <color theme="1"/>
        <rFont val="Century Gothic"/>
        <family val="2"/>
        <scheme val="minor"/>
      </rPr>
      <t>Es probable</t>
    </r>
    <r>
      <rPr>
        <sz val="11"/>
        <color theme="1"/>
        <rFont val="Century Gothic"/>
        <family val="2"/>
        <scheme val="minor"/>
      </rPr>
      <t xml:space="preserve">
Ocurre en la mayoría de los casos</t>
    </r>
  </si>
  <si>
    <t xml:space="preserve">Se presentó una vez en el último año. </t>
  </si>
  <si>
    <t>Casi Seguro</t>
  </si>
  <si>
    <r>
      <rPr>
        <b/>
        <sz val="11"/>
        <color theme="1"/>
        <rFont val="Century Gothic"/>
        <family val="2"/>
        <scheme val="minor"/>
      </rPr>
      <t>Es muy seguro</t>
    </r>
    <r>
      <rPr>
        <sz val="11"/>
        <color theme="1"/>
        <rFont val="Century Gothic"/>
        <family val="2"/>
        <scheme val="minor"/>
      </rPr>
      <t xml:space="preserve">
El evento ocurre en la mayoria de las circunstancias. Es muy seguro que se presente.</t>
    </r>
  </si>
  <si>
    <t xml:space="preserve">Se ha presentado más de una vez al año. </t>
  </si>
  <si>
    <t>Casi seguro</t>
  </si>
  <si>
    <t>Rara vez</t>
  </si>
  <si>
    <t>MATRIZ DE GESTIÓN DE RIESGOS ANTICORRUPCIÓN</t>
  </si>
  <si>
    <t>Calificacion</t>
  </si>
  <si>
    <t>Catastrofico</t>
  </si>
  <si>
    <t>Valor</t>
  </si>
  <si>
    <t>SOCIEDAD TEQUENDAMA S.A.</t>
  </si>
  <si>
    <t>Proceso</t>
  </si>
  <si>
    <t xml:space="preserve">Causas </t>
  </si>
  <si>
    <t xml:space="preserve">Valoración del riesgo de corrupción </t>
  </si>
  <si>
    <t>Controles</t>
  </si>
  <si>
    <t>RIESGOS RESIDUAL</t>
  </si>
  <si>
    <t xml:space="preserve">Acciones asociadas al control </t>
  </si>
  <si>
    <t>Periodo de ejecución</t>
  </si>
  <si>
    <t>Acciones</t>
  </si>
  <si>
    <t xml:space="preserve">Registro </t>
  </si>
  <si>
    <t>Monitoreo y revision</t>
  </si>
  <si>
    <t>Fecha</t>
  </si>
  <si>
    <t>Responsable</t>
  </si>
  <si>
    <t>Correctivo</t>
  </si>
  <si>
    <t>Manual</t>
  </si>
  <si>
    <t>Automático</t>
  </si>
  <si>
    <t>Medicion del control</t>
  </si>
  <si>
    <t>¿Existen manuales, instructivos o procedimientos para el manejo del control?</t>
  </si>
  <si>
    <t>¿Está(n) definido(s) el(los)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</si>
  <si>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</si>
  <si>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</si>
  <si>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</si>
  <si>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</si>
  <si>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</si>
  <si>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Puntaje a disminuir</t>
  </si>
  <si>
    <t>OFICINA DE PLANEACIÓN Y DESARROLLO CORPORATIVO</t>
  </si>
  <si>
    <t>Identificacion del riesgo</t>
  </si>
  <si>
    <r>
      <t xml:space="preserve">Identificación del proceso. El Mapa de Riesgos de Corrupción se elabora sobre procesos. En este sentido se deben tener en cuenta los procesos estratégicos, misionales, de apoyo 
</t>
    </r>
    <r>
      <rPr>
        <b/>
        <sz val="11"/>
        <color theme="1"/>
        <rFont val="Century Gothic"/>
        <family val="2"/>
        <scheme val="minor"/>
      </rPr>
      <t>Objetivo del proceso</t>
    </r>
    <r>
      <rPr>
        <sz val="11"/>
        <color theme="1"/>
        <rFont val="Century Gothic"/>
        <family val="2"/>
        <scheme val="minor"/>
      </rPr>
      <t xml:space="preserve">. Se debe señalar el objetivo del proceso al que se le identificarán los riesgos de corrupción.
</t>
    </r>
    <r>
      <rPr>
        <b/>
        <sz val="11"/>
        <color theme="1"/>
        <rFont val="Century Gothic"/>
        <family val="2"/>
        <scheme val="minor"/>
      </rPr>
      <t>Establecer las causas.</t>
    </r>
    <r>
      <rPr>
        <sz val="11"/>
        <color theme="1"/>
        <rFont val="Century Gothic"/>
        <family val="2"/>
        <scheme val="minor"/>
      </rPr>
      <t xml:space="preserve"> A partir de los factores internos y externos, se determinan los agentes
generadores del riesgo
</t>
    </r>
    <r>
      <rPr>
        <b/>
        <sz val="11"/>
        <color theme="1"/>
        <rFont val="Century Gothic"/>
        <family val="2"/>
        <scheme val="minor"/>
      </rPr>
      <t>Definición de riesgo de corrupción:</t>
    </r>
    <r>
      <rPr>
        <sz val="11"/>
        <color theme="1"/>
        <rFont val="Century Gothic"/>
        <family val="2"/>
        <scheme val="minor"/>
      </rPr>
      <t xml:space="preserve"> Posibilidad de que por acción u omisión, se use el poder para poder desviar la gestión de lo público hacia un beneficio privado.
Es necesario que en la descripción del riesgo concurran los componentes de su definición: acción u omisión + uso del poder + desviación de la gestión de lo público + el beneficio privado.
Con el fin de facilitar la identificación de riesgos de corrupción y de evitar que se presenten confusiones entre un riesgo de gestión y uno de corrupción, se sugiere la utilización de la Matriz de definición de riesgo de corrupción, que incorpora cada uno de los componentes de su definición.
Si en la descripción del riesgo, las casillas son contestadas todas afirmativamente, se trata de un riesgo de corrupción.
</t>
    </r>
    <r>
      <rPr>
        <b/>
        <sz val="11"/>
        <color theme="1"/>
        <rFont val="Century Gothic"/>
        <family val="2"/>
        <scheme val="minor"/>
      </rPr>
      <t>Consecuencias.</t>
    </r>
    <r>
      <rPr>
        <sz val="11"/>
        <color theme="1"/>
        <rFont val="Century Gothic"/>
        <family val="2"/>
        <scheme val="minor"/>
      </rPr>
      <t xml:space="preserve"> Son los efectos ocasionados por la ocurrencia de un riesgo que afecta los objetivos o procesos de la entidad. Pueden ser una pérdida, un daño, un perjuicio, un detrimento. La consecuencia se convierte en un insumo de la mayor importancia, toda vez que es la base para determinar el impacto</t>
    </r>
  </si>
  <si>
    <t>Evaluación del riesgo</t>
  </si>
  <si>
    <r>
      <rPr>
        <b/>
        <sz val="11"/>
        <color theme="1"/>
        <rFont val="Century Gothic"/>
        <family val="2"/>
        <scheme val="minor"/>
      </rPr>
      <t xml:space="preserve">Probabilidad. </t>
    </r>
    <r>
      <rPr>
        <sz val="11"/>
        <color theme="1"/>
        <rFont val="Century Gothic"/>
        <family val="2"/>
        <scheme val="minor"/>
      </rPr>
      <t xml:space="preserve">Es la oportunidad de ocurrencia de un evento de riesgo. Se mide según la frecuencia (número de veces en que se ha presentado el riesgo en un período determinado) o por
la factibilidad (factores internos o externos que pueden determinar que el riesgo se presente).
</t>
    </r>
    <r>
      <rPr>
        <b/>
        <sz val="11"/>
        <color theme="1"/>
        <rFont val="Century Gothic"/>
        <family val="2"/>
        <scheme val="minor"/>
      </rPr>
      <t>Impacto</t>
    </r>
    <r>
      <rPr>
        <sz val="11"/>
        <color theme="1"/>
        <rFont val="Century Gothic"/>
        <family val="2"/>
        <scheme val="minor"/>
      </rPr>
      <t xml:space="preserve">. Son las consecuencias o efectos que puede generar la materialización del riesgo de corrupción en la entidad
</t>
    </r>
  </si>
  <si>
    <r>
      <rPr>
        <b/>
        <sz val="11"/>
        <color theme="1"/>
        <rFont val="Century Gothic"/>
        <family val="2"/>
        <scheme val="minor"/>
      </rPr>
      <t>Mecanismo para determinar la asignación del puntaje en el impacto</t>
    </r>
    <r>
      <rPr>
        <sz val="11"/>
        <color theme="1"/>
        <rFont val="Century Gothic"/>
        <family val="2"/>
        <scheme val="minor"/>
      </rPr>
      <t xml:space="preserve">
El impacto se mide según el efecto que puede causar el hecho de corrupción al cumplimiento de los fines de la entidad. Para facilitar la asignación del puntaje es aconsejable diligenciar el siguiente formato:</t>
    </r>
  </si>
  <si>
    <r>
      <rPr>
        <b/>
        <sz val="11"/>
        <color theme="1"/>
        <rFont val="Century Gothic"/>
        <family val="2"/>
        <scheme val="minor"/>
      </rPr>
      <t>Respuestas:</t>
    </r>
    <r>
      <rPr>
        <sz val="11"/>
        <color theme="1"/>
        <rFont val="Century Gothic"/>
        <family val="2"/>
        <scheme val="minor"/>
      </rPr>
      <t xml:space="preserve">
• Responder afirmativamente de UNO a CINCO pregunta(s) genera un impacto Moderado.
• Responder afirmativamente de SEIS a ONCE preguntas genera un impacto Mayor.
• Responder afirmativamente de DOCE a DIECIOCHO preguntas genera un impacto Catastrófico.</t>
    </r>
  </si>
  <si>
    <t xml:space="preserve">Resultado de la calificacion del riesgo </t>
  </si>
  <si>
    <t>Corresponde a la primera calificación y evaluación del riesgo de corrupción.
1) Mecanismo: Se realiza a través del cruce de los resultados obtenidos de la probabilidad y del impacto, a través de una multiplicación (puntaje del descriptor de la probabilidad por el puntaje del descriptor del impacto). Ejemplo: probable (4) X Catastrófico (20) Total 4 X 20 = 80.
2) El resultado se ubica en una de las cuatro (4) zonas de riesgo que a continuación se describen</t>
  </si>
  <si>
    <r>
      <rPr>
        <b/>
        <sz val="11"/>
        <color theme="1"/>
        <rFont val="Century Gothic"/>
        <family val="2"/>
        <scheme val="minor"/>
      </rPr>
      <t>a) Zona de Riesgo Baja:</t>
    </r>
    <r>
      <rPr>
        <sz val="11"/>
        <color theme="1"/>
        <rFont val="Century Gothic"/>
        <family val="2"/>
        <scheme val="minor"/>
      </rPr>
      <t xml:space="preserve">
Puntaje: De 5 a 10 puntos.
• Definida por la casilla Baja.
• Probabilidad: Rara vez o improbable.
• Impacto: Moderado y Mayor.
• Tratamiento: Los riesgos de corrupción de las zonas baja se encuentran en un nivel que puede eliminarse o reducirse fácilmente con los controles establecidos en la entidad.
</t>
    </r>
    <r>
      <rPr>
        <b/>
        <sz val="11"/>
        <color theme="1"/>
        <rFont val="Century Gothic"/>
        <family val="2"/>
        <scheme val="minor"/>
      </rPr>
      <t>b) Zona de Riesgo Moderada:</t>
    </r>
    <r>
      <rPr>
        <sz val="11"/>
        <color theme="1"/>
        <rFont val="Century Gothic"/>
        <family val="2"/>
        <scheme val="minor"/>
      </rPr>
      <t xml:space="preserve">
• Puntaje: De 15 - 25 puntos.
• Definida por la casilla Moderada.
• Probabilidad: Rara vez, Improbable, Posible, Probable y Casi Seguro.
• Impacto: Moderado, Mayor y Catastrófico.
• Tratamiento: Deben tomarse las medidas necesarias para llevar los riesgos a la Zona de Riesgo Baja o eliminarlo.
Nota En todo caso se requiere que las entidades propendan por eliminar el riesgo de corrupción o por lo menos llevarlo a la Zona de Riesgo Baja.
</t>
    </r>
    <r>
      <rPr>
        <b/>
        <sz val="11"/>
        <color theme="1"/>
        <rFont val="Century Gothic"/>
        <family val="2"/>
        <scheme val="minor"/>
      </rPr>
      <t>c) Zona de Riesgo Alta:</t>
    </r>
    <r>
      <rPr>
        <sz val="11"/>
        <color theme="1"/>
        <rFont val="Century Gothic"/>
        <family val="2"/>
        <scheme val="minor"/>
      </rPr>
      <t xml:space="preserve">
• Puntaje: De 30 - 50 puntos.
• Definida por la casilla Alta.
• Probabilidad: Improbable, Posible, Probable y Casi Seguro.
• Impacto: Mayor y Catastrófico.
• Tratamiento: Deben tomarse las medidas necesarias para llevar los riesgos a la Zona de Riesgo Moderada, Baja o eliminarlo.
Nota En todo caso se requiere que las entidades propendan por eliminar el riesgo de corrupción o por lo menos llevarlo a la Zona de Riesgo Baja.
</t>
    </r>
    <r>
      <rPr>
        <b/>
        <sz val="11"/>
        <color theme="1"/>
        <rFont val="Century Gothic"/>
        <family val="2"/>
        <scheme val="minor"/>
      </rPr>
      <t>d) Zona de Riesgo Extrema:</t>
    </r>
    <r>
      <rPr>
        <sz val="11"/>
        <color theme="1"/>
        <rFont val="Century Gothic"/>
        <family val="2"/>
        <scheme val="minor"/>
      </rPr>
      <t xml:space="preserve">
• Puntaje: De 60 - 100 puntos.
• Definida por la casilla Extrema.
• Probabilidad: Posible, Probable y Casi Seguro.
• Impacto: Catastrófico.
• Tratamiento: Los riesgos de corrupción de la Zona de Riesgo Extrema requieren de un tratamiento prioritario. Se deben implementar los controles orientados a reducir la posibilidad de ocurrencia del riesgo o disminuir el impacto de sus efectos y tomar las medidas de protección.
Nota En todo caso se requiere que las entidades propendan por eliminar el riesgo de corrupción o por lo menos llevarlo a la Zona de Riesgo Baja.</t>
    </r>
  </si>
  <si>
    <t>Medicion de controles</t>
  </si>
  <si>
    <t>Se responde las siguientes preguntas de tal forma que al final se sumen el puntae según el valor a cada pregunta asi:</t>
  </si>
  <si>
    <t>Se comparan los resultados obtenidos del riesgo inherente con los controles establecidos, para establecer la zona del riesgo final. Se califica de acuerdo con la siguiente tabla.</t>
  </si>
  <si>
    <t>Con la calificación obtenida se realiza un desplazamiento en la matriz, así: si el control afecta la probabilidad se avanza hacia abajo. Si afecta el impacto se avanza a la izquierda, asi:</t>
  </si>
  <si>
    <t>Riesgo residual</t>
  </si>
  <si>
    <r>
      <t xml:space="preserve">Monitoreo y evaluación
</t>
    </r>
    <r>
      <rPr>
        <sz val="12"/>
        <color theme="1"/>
        <rFont val="Century Gothic"/>
        <family val="2"/>
        <scheme val="minor"/>
      </rPr>
      <t>Los líderes de los procesos en conjunto con sus equipos deben monitorear y revisar periódicamente el documento del Mapa de Riesgos de Corrupción y si es del caso ajustarlo.
Su importancia radica en la necesidad de monitorear permanentemente la gestión del riesgo y la efectividad de los controles establecidos. Teniendo en cuenta que la corrupción es -por sus propias características una actividad difícil de detectar.
En esta fase se debe:
1. Garantizar que los controles son eficaces y eficientes.
2. Obtener información adicional que permita mejorar la valoración del riesgo.
3. Analizar y aprender lecciones a partir de los eventos, los cambios, las tendencias, los éxitos y los fracasos.
4. Detectar cambios en el contexto interno y externo.
5. Identificar riesgos emergentes.</t>
    </r>
  </si>
  <si>
    <t>GESTIÓN ADMINISTRATIVA</t>
  </si>
  <si>
    <t>Brindar el apoyo administrativo (contratación, compras,  mantenimiento de la infraestructura  y control de almacenes e inventarios), con fin de soportar el funcionamiento adecuado de la compañia.</t>
  </si>
  <si>
    <t xml:space="preserve"> 
Deficiencia en controles de supervisión.
</t>
  </si>
  <si>
    <t>Deficiencias en la planeación de las adquisiciones.</t>
  </si>
  <si>
    <t>Decisiones ajustadas a intereses particulares para realizar actividades no previstas como prioritarias o programadas.</t>
  </si>
  <si>
    <t>Detrimento de las finanzas corporativas</t>
  </si>
  <si>
    <t>Afectación reputacional de la compañía</t>
  </si>
  <si>
    <t>Incremento en gastos corporativos no justificables</t>
  </si>
  <si>
    <t>Verificación gestión de supervision</t>
  </si>
  <si>
    <t>Verificación gestión de supervisores</t>
  </si>
  <si>
    <t>Actualización procedimientos</t>
  </si>
  <si>
    <t>Programación de adqquisiciones</t>
  </si>
  <si>
    <t>Semestral</t>
  </si>
  <si>
    <t xml:space="preserve">Trimestal
</t>
  </si>
  <si>
    <t>Anual</t>
  </si>
  <si>
    <t>Verificación informes periódicos de supervisores de contratos</t>
  </si>
  <si>
    <t>Revisión periodica de seguimiento a supervisores.</t>
  </si>
  <si>
    <t>Programación periodica de adquisiciones</t>
  </si>
  <si>
    <t xml:space="preserve">Informes periodicos de  supervisores.
</t>
  </si>
  <si>
    <t xml:space="preserve">Actas de reunión comité Administrativo
</t>
  </si>
  <si>
    <t>Programa de adquisiciones (periódico)</t>
  </si>
  <si>
    <t>GESTIÓN FINANCIERA</t>
  </si>
  <si>
    <t>Cobro por trámite anticipado de pago de facturas no programadas</t>
  </si>
  <si>
    <t>Afectación al flujo de caja de la compañía</t>
  </si>
  <si>
    <t>GESTIÓN DEL TALENTO HUMANO</t>
  </si>
  <si>
    <t>Afectación a la reputación de la compañía</t>
  </si>
  <si>
    <t>GESTIÓN DE SERVICIOS TIC</t>
  </si>
  <si>
    <t>Afectación reputacional de la compañía y posibles problemas jurídicos por mal manejo de las políticas de seguridad de la información.</t>
  </si>
  <si>
    <t>GESTIÓN DOCUMENTAL</t>
  </si>
  <si>
    <t>GESTIÓN JURÍDICA</t>
  </si>
  <si>
    <t>EVALUACIÓN Y SEGUIMIENTO</t>
  </si>
  <si>
    <t>Evaluar objetiva e independientemente, la eficacia eficiencia y efectividad de los diferentes sistemas organizacionales de la compañia, para fortalecer el autocontrol, la autorregulación y la autogestión.</t>
  </si>
  <si>
    <t>Ocultar hallazgos y/o resultados de las auditorías lo cual impida identificar prácticas irregulares o corruptas y sus directos responsables que afecten los intereses de la compañía.</t>
  </si>
  <si>
    <t>Perdida de objetividad, independencia y transparencia de la función de la OCI, para favorecer a un tercero.</t>
  </si>
  <si>
    <t>PLANEACIÓN</t>
  </si>
  <si>
    <t>SISTEMAS INTEGRADOS</t>
  </si>
  <si>
    <t>COMUNICACIONES</t>
  </si>
  <si>
    <t>GESTIÓN DE NEGOCIOS</t>
  </si>
  <si>
    <t>Realizar la gestión de activos, promoción de negocios e inversiones, acorde a los objetivos de la compañía.</t>
  </si>
  <si>
    <t>Revisión flujo de caja</t>
  </si>
  <si>
    <t>Verificación del proceso de  evaluación y seguimiento</t>
  </si>
  <si>
    <t>Mensual</t>
  </si>
  <si>
    <t xml:space="preserve">Trimestral
</t>
  </si>
  <si>
    <t>anual</t>
  </si>
  <si>
    <t>mensual</t>
  </si>
  <si>
    <t>Evaluación, control y seguimiento</t>
  </si>
  <si>
    <t>Desarrollo Humano y Control Disciplinario Interno </t>
  </si>
  <si>
    <t>Oficina Jurídica</t>
  </si>
  <si>
    <t>Oficina de Control Interno</t>
  </si>
  <si>
    <t># comités realizados/# comités programados en la vigencia (minimo 4)</t>
  </si>
  <si>
    <t># comités realizados/# comités programados en la vigencia</t>
  </si>
  <si>
    <t>plan actualizado y socializado al 100%</t>
  </si>
  <si>
    <t>CÓDIGO: FO-PRES-PLN-007</t>
  </si>
  <si>
    <t>VERSIÓN: 2</t>
  </si>
  <si>
    <t>FECHA: 31/07/2024</t>
  </si>
  <si>
    <t>Actualización procedimiento de compras y manual de negocios</t>
  </si>
  <si>
    <t xml:space="preserve">Detrimento de las finanzas corporativas
</t>
  </si>
  <si>
    <t xml:space="preserve">Adquisición de bienes y/o servicios en condiciones poco favorables para la compañía
PAA 2024
</t>
  </si>
  <si>
    <t xml:space="preserve">Dirección de Contratación y compras </t>
  </si>
  <si>
    <t>#Numero de contratos suscritos / #Numero de informes presentados</t>
  </si>
  <si>
    <t>Coordinar la difusión de mensajes e información de manera transparente y eficaz a todos los grupos de interés, a través de estrategias de comunicación. Cultivar y fortalecer relaciones estratégicas con aliados, socios comerciales, proveedores y clientes, mediante el diseño e implementación de iniciativas de mercadeo para aumentar el valor de la marca a nivel nacional. Buscando influir positivamente en la percepción e imagen de la Sociedad Tequendama, reflejando sus valores de integridad, innovación y responsabilidad social, y consolidando su presencia y reputación en el ámbito nacional.</t>
  </si>
  <si>
    <t>Mediante acciones de terceros y/o colaboradores, se haga uso indebido de la marca de la Sociedad, creando una crisis reputacional</t>
  </si>
  <si>
    <t xml:space="preserve">Abuso de la información y el uso de la imagen o nombre de la Sociedad para el beneficio propio o de una empresa </t>
  </si>
  <si>
    <t xml:space="preserve">Desprestigio, crisis reputacional y toma de acciones legales frente al uso indebido de la marca
</t>
  </si>
  <si>
    <t xml:space="preserve">Anual
</t>
  </si>
  <si>
    <t>Dirigir la planificación estratégica para impulsar el crecimiento y la eficiencia de la Sociedad, garantizando la alineación de todas las iniciativas con el objetivo corporativo, y promoviendo la mejora continua y responsabilidad corporativa</t>
  </si>
  <si>
    <t xml:space="preserve">Formato y seguimiento  </t>
  </si>
  <si>
    <t>Sobrejecución contractual</t>
  </si>
  <si>
    <t># Registro de fomatos firmados/ # de funcionarios ST</t>
  </si>
  <si>
    <t>actualización código de ética de la Sociedad
Capacitaciones en procesos disciplinarios</t>
  </si>
  <si>
    <t>acta comité de conciliación</t>
  </si>
  <si>
    <t xml:space="preserve">Semestral
</t>
  </si>
  <si>
    <t xml:space="preserve">Comité de conciliación </t>
  </si>
  <si>
    <t>Gestionar eficazmente los recursos financieros, asegurando transparencia y cumplimientonormativo, para optimizar la rentabilidad y contribuir al desarrollo económico sostenible de la Sociedad.</t>
  </si>
  <si>
    <t xml:space="preserve"> Garantizar la eficiencia y transparencia en la gestión de documentos de las empresas industrialesy comerciales del estado, facilitando el acceso oportuno y seguro a la información, comprometiéndose aimplementar sistemas que aseguren la integridad y confidencialidad de los documentos, cumpliendonormativas legales y mejorando la productividad y calidad del servicio</t>
  </si>
  <si>
    <t>Falta de ejecución del plan de capacitaciones de la Sociedad Tequendama (SIAO)</t>
  </si>
  <si>
    <t>Pagos incorrectos de salarios o prestaciones, generando incumplimientos legales y descontento entre los empleados.</t>
  </si>
  <si>
    <t>Seguimiento plan de capacitación SIAO</t>
  </si>
  <si>
    <t>Número de errores detectados en la liquidación de nómina y prestaciones.</t>
  </si>
  <si>
    <t>Incumplimiento al plan estratégico aprobado por la junta directiva de la Sociedad Tequendam</t>
  </si>
  <si>
    <t>Perdida de objetividad, independencia y transparencia de la función de seguimiento</t>
  </si>
  <si>
    <t xml:space="preserve">Seguimiento a indicadores </t>
  </si>
  <si>
    <t>1. Definición de indicadores de Gestión para los líderes de los procesos
2. Reuniones de Junta Directiva para seguimiento a los resultados y actividades estratégicas
3. Reuniones periódicas de gestión de la Sociedad y sus unidades de negocio</t>
  </si>
  <si>
    <t>Matriz indicadores</t>
  </si>
  <si>
    <t>Oficina de Planeación estratégica y desarrollo corporativo</t>
  </si>
  <si>
    <t># de Indicadores reportados</t>
  </si>
  <si>
    <t xml:space="preserve">Controles sobre los tiempos de los contratos </t>
  </si>
  <si>
    <t>X</t>
  </si>
  <si>
    <t>Conflicto de intereses</t>
  </si>
  <si>
    <t>x</t>
  </si>
  <si>
    <t>1.Organización documental de acuerdo a TRD
2. Seguimiento SIC
3. Seguimiento y control Integrateq</t>
  </si>
  <si>
    <t>FUID
Formatos SIC
Reporte Integrateq</t>
  </si>
  <si>
    <t>Gestión documental</t>
  </si>
  <si>
    <t>Planear, dirigir y controlar los Sistemas Integrados de Gestión, garantizando la salud de los trabajadores en la sociedad, la inocuidad de los alimentos y mitigando los impactos ambientales</t>
  </si>
  <si>
    <t xml:space="preserve">1. No cumplimiento de la normatividad vigente
2. Falsedad en la documentación
3. Negligencia
4. Encubrir funcionarios
5.Soborno en procesos de auditorias.  </t>
  </si>
  <si>
    <t>Acta auditorias
Listado de asistencia</t>
  </si>
  <si>
    <t>1. Consecuenias disciplinarias
2. Penales</t>
  </si>
  <si>
    <t>1. Auditorias e inspecciones
1. Auditorias entes externos
2. Asegurar cumplimiento legal normativo
3. Capacitaciones y sensibilizaciones
4. Responsabilidades relacionadas a SIG
5. Asesoramiento jurídico</t>
  </si>
  <si>
    <t>SIG</t>
  </si>
  <si>
    <t>Auditorias realizadas al 100%</t>
  </si>
  <si>
    <t xml:space="preserve">1. Al contar con una herramienta tecnológica INTEGRATEQ, para la administración de la correspondencia, no se usa en todo su potencial; existiendo vacíos funcionales y de responsabilidades frente a la administración y parametrización de este sistema de información. 
2. Inadecuadas políticas archivísticas para su cumplimiento total
3. No contar con la infraestructura adecuada para la conservación de los archivos
4. Las condiciones ambientales no aptas para la preservación y conservación de la documentación en el archivo </t>
  </si>
  <si>
    <t>Perdida o deterioro y/o destrucción de la documentación en la Sociedad Tequendama.</t>
  </si>
  <si>
    <t>1. Perdida de la memoria institucional y patrimonio documental
2. Reprocesos en la organización de la documentación
3. Retrasos en la entrega de la documentación consultada en el archivo central
4. Robo de documentación del archivo central</t>
  </si>
  <si>
    <t xml:space="preserve">Perdida de la trazabilidad de la información de lso SIG
Soborno en procesos de auditorias.  </t>
  </si>
  <si>
    <t xml:space="preserve">1. Daño a una persona
2. Financieros
3. Reputacional
</t>
  </si>
  <si>
    <t>Pérdida de materia prima</t>
  </si>
  <si>
    <t>1. Toma aleatoria de inventarios
2. Control costo de MP
3. Revisión de objetos personales de los colaboradores</t>
  </si>
  <si>
    <t>1. Revisión nómina y aprobación de la misma
2. Cierre aplicativo nómina</t>
  </si>
  <si>
    <t>1. Errores en la recopilación de datos y cálculo de nómina.
2. Falta de seguimiento 
3. Favorecimiento propio o a un tercero en particular. </t>
  </si>
  <si>
    <t>1. Falta de identificación de necesidades de formación.
2. Recursos limitados destinados a capacitación.</t>
  </si>
  <si>
    <t xml:space="preserve"> Financieros</t>
  </si>
  <si>
    <t>1. Favorecimiento propio o a un tercero en particular.
2. Hurto </t>
  </si>
  <si>
    <t>1. Hurto
2. Daño o pérdida de MP</t>
  </si>
  <si>
    <t>Diseño de un plan anual de capacitación basado en las necesidades de las unidades</t>
  </si>
  <si>
    <t>1.Ordenes de servicio generadas con soporte de la capacitación
2. Certificados</t>
  </si>
  <si>
    <t>1. Favorecimiento propio o a un tercero en particular.
2. Soborno a funcionario (s).</t>
  </si>
  <si>
    <t>1. Accesibilidad total a las bases de datos.
2. Soborno a funcionario (s).
3. Concentración de autoridad. 
4. Favorecimiento propio o a un tercero en particular. </t>
  </si>
  <si>
    <t xml:space="preserve">1. Manipulación procesos disciplinarios
2. Declaración de conflicto de interes
</t>
  </si>
  <si>
    <t>1. Actualización y socialización código de ética
2. Capacitación proceso disciplinarios</t>
  </si>
  <si>
    <t>Código actualizado
% de socialización del código</t>
  </si>
  <si>
    <t>1. Concentración de autoridad.
2. Soborno a funcionario (s)
3. Favorecimiento propio o a un tercero en particular. </t>
  </si>
  <si>
    <t xml:space="preserve">1. Plan anual de Auditoría  - Cronograma de Control Interno ( informe a presentar, fecha, destinatario, y periodicidad)
2.  Socializar los informes de ley presentados por la oficina de Control Interno.
3.  Publicación en pagina WEB de la ST de los informes de Ley.
</t>
  </si>
  <si>
    <t>1. plan de auditoría
2. reporte socialización informes de ley
3. informes publicados</t>
  </si>
  <si>
    <t>1. Falta de seguimiento a los Planes Institucionales, proyectos y presupuestos de la Sociedad. Por parte de las líneas de defensa.
2. No estar atento a los cambios del entorno VUCA
3. Elaboración de planes Institucionales desenfocados a los objetivos </t>
  </si>
  <si>
    <t>Pérdida de dinero en efectivo correspondiente al recaudo de las ventas en los diferentes puntos.</t>
  </si>
  <si>
    <t>(11 - 50)</t>
  </si>
  <si>
    <t>1. Realizar las consignaciones en los tiempos asignados (Reportes)
2. Manejo de pólizas con terceros
3. Arqueo de caja
4. Conciliaciones bancarias
 5. Cajillas de seguridad</t>
  </si>
  <si>
    <t>Pérdida, robo, daño y/o modificación sin autorización de la integridad de la información de la compañía en  beneficio de un tercero.</t>
  </si>
  <si>
    <t xml:space="preserve">Publicaciones página web
Publicaciones drive
</t>
  </si>
  <si>
    <t>DIRECCIÓN TICS</t>
  </si>
  <si>
    <t>Promover la competitividad y sostenibilidad mediante la selección de proveedores adecuados y la adquisición de bienes y servicios de calidad, contribuyendo así al desarrollo económico y al éxito operativo de la organización</t>
  </si>
  <si>
    <t xml:space="preserve">Dirección de Talento Humano </t>
  </si>
  <si>
    <t>Gastronomía</t>
  </si>
  <si>
    <t xml:space="preserve">Ofrecer soluciones tecnológicas innovadoras para mejorar la eficiencia y apoyar la toma de decisiones estratégicas. Promueve el uso responsable de la tecnología y facilita la comunicación interna y externa para contribuir al desarrollo sostenible y competitivo de la organización Definir políticas, estrategias y prácticas que soporten la gestión y operación, en materia tecnológica. Teniendo en cuenta que los procesos que se realicen deben ser seguros conforme a las necesidades de la Sociedad  </t>
  </si>
  <si>
    <t>1. Plan de seguridad de la información
2. Establecimiento de procedimiento control de acceso
 3. Política de contraseñas
4. política de backup
5. Validación backup
6. Política de antivirus
7. Capacitaciones mensuales en temas de ciberseguridad
8. Monitoreo de usuarios
9. Política comunicaciones
10. Política de protección de datos
11. Plan de contingencia</t>
  </si>
  <si>
    <t>código de ética
Declaración de conflicto de interes 
Capacitaciones
Actas JD
Tramite cambio de estatutos
Boletin informativo JD</t>
  </si>
  <si>
    <t>1. Garantizar el cumplimiento de las leyes y regulaciones aplicables a la Sociedad Tequendama, a sus grupos de interés y a sus negocios. 
2. Gestionar y mitigar los riesgos legales asociados al desarrollo habitual de sus negocios.</t>
  </si>
  <si>
    <t>Dilatar las etapas de los proceso disciplinarios, llevando a retasos injustificados que lleven a la violación de la leyes</t>
  </si>
  <si>
    <t>Manipulación de los procedimientos de control disciplinario interno.</t>
  </si>
  <si>
    <t>Obstaculizar la rendición de cuentas veraz y oportuna a la JD o/y AGA</t>
  </si>
  <si>
    <t>Materialice la responsabilidad civil y penal de los administradores</t>
  </si>
  <si>
    <t>Interpretación errónea de las normas.</t>
  </si>
  <si>
    <t>Inadecuada defensa de los procesos judiciales.</t>
  </si>
  <si>
    <t>Generar condenas en contra de la sociedad que conlleven detrimento patrimonial y posibles acciones de repetición</t>
  </si>
  <si>
    <t>Deficiencias en los contratos estratégicos como consecuencia o ausencia de documentos precontractuales, o insufiencia de las clausulas.</t>
  </si>
  <si>
    <t>Generar situaciones de incumplimiento que puedan conducir a demandas en contra de la sociedad por controversias contractuales</t>
  </si>
  <si>
    <t>1. Fallos condenatorios en contra de la sociedad.
2. Acciones de repetición en contra de servidores públicos.
3. Detrimento patrimonial..</t>
  </si>
  <si>
    <t>Materializar la responsabilidad fiscal, disicplinaria, administrativa y penal de los administradores</t>
  </si>
  <si>
    <t xml:space="preserve">acta comité de pagos
</t>
  </si>
  <si>
    <t>Dirección financiera</t>
  </si>
  <si>
    <t># comités realizados en la vigencia</t>
  </si>
  <si>
    <t>comité de pagos</t>
  </si>
  <si>
    <t>% Avance plan anual de auditorias</t>
  </si>
  <si>
    <t>#de integrantes que completan programas de capacitación y desarrollo profesional.</t>
  </si>
  <si>
    <t>1. Realizar las consignaciones en los tiempos asignados (Reportes)
2. Manejo de polizas con terceros
3. Arqueo de caja
4. Conciliaciones bancarias
5. Cajillas de seguridad</t>
  </si>
  <si>
    <t>Resultados arqueo de caja</t>
  </si>
  <si>
    <t># toma aleatorio de inventarios</t>
  </si>
  <si>
    <t># archivo digitalizado</t>
  </si>
  <si>
    <t>VERSIÓN: 5</t>
  </si>
  <si>
    <t>CÓDIGO: FO-OPEDC-PLN-007</t>
  </si>
  <si>
    <t>FECHA: 16/12/2024</t>
  </si>
  <si>
    <t xml:space="preserve">Plan Anual de negocios
</t>
  </si>
  <si>
    <t xml:space="preserve">Manual de negocios actualizado </t>
  </si>
  <si>
    <t>Actualización procedimiento de compras y manual de negocio</t>
  </si>
  <si>
    <t>FECHA</t>
  </si>
  <si>
    <t xml:space="preserve">25/09/2024
</t>
  </si>
  <si>
    <t>CREACIÓN Y ACTUALIZACIÓN COMPROMISO DE USO ADECUADO DE LA MARCA SOCIEDAD TEQUENDAMA
Creación y actualización de Contrato de confidencialidad</t>
  </si>
  <si>
    <t>Oficina Comunicaciónes
UEN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</si>
</sst>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3" x14ac:knownFonts="1">
    <font>
      <sz val="11"/>
      <color theme="1"/>
      <name val="Century Gothic"/>
      <family val="2"/>
      <scheme val="minor"/>
    </font>
    <font>
      <sz val="10"/>
      <name val="Arial"/>
      <family val="2"/>
    </font>
    <font>
      <b/>
      <sz val="11"/>
      <color theme="1"/>
      <name val="Century Gothic"/>
      <family val="2"/>
      <scheme val="minor"/>
    </font>
    <font>
      <b/>
      <sz val="11"/>
      <color theme="0"/>
      <name val="Century Gothic"/>
      <family val="2"/>
      <scheme val="minor"/>
    </font>
    <font>
      <b/>
      <sz val="16"/>
      <color theme="1"/>
      <name val="Century Gothic"/>
      <family val="2"/>
      <scheme val="minor"/>
    </font>
    <font>
      <sz val="12"/>
      <color theme="1"/>
      <name val="Century Gothic"/>
      <family val="2"/>
      <scheme val="minor"/>
    </font>
    <font>
      <b/>
      <sz val="12"/>
      <color theme="1"/>
      <name val="Century Gothic"/>
      <family val="2"/>
      <scheme val="minor"/>
    </font>
    <font>
      <sz val="12"/>
      <name val="Century Gothic"/>
      <family val="2"/>
      <scheme val="minor"/>
    </font>
    <font>
      <sz val="11"/>
      <color theme="0"/>
      <name val="Century Gothic"/>
      <family val="2"/>
      <scheme val="minor"/>
    </font>
    <font>
      <b/>
      <sz val="20"/>
      <color theme="0"/>
      <name val="Century Gothic"/>
      <family val="2"/>
      <scheme val="minor"/>
    </font>
    <font>
      <sz val="8"/>
      <color theme="0"/>
      <name val="Century Gothic"/>
      <family val="2"/>
      <scheme val="minor"/>
    </font>
    <font>
      <sz val="11"/>
      <name val="Century Gothic"/>
      <family val="2"/>
      <scheme val="minor"/>
    </font>
    <font>
      <b/>
      <sz val="16"/>
      <color theme="0"/>
      <name val="Century Gothic"/>
      <family val="2"/>
      <scheme val="minor"/>
    </font>
    <font>
      <b/>
      <sz val="12"/>
      <name val="Century Gothic"/>
      <family val="2"/>
      <scheme val="minor"/>
    </font>
    <font>
      <sz val="22"/>
      <color theme="1"/>
      <name val="Century Gothic"/>
      <family val="2"/>
      <scheme val="minor"/>
    </font>
    <font>
      <b/>
      <sz val="16"/>
      <name val="Century Gothic"/>
      <family val="2"/>
      <scheme val="minor"/>
    </font>
    <font>
      <b/>
      <sz val="12"/>
      <color theme="1"/>
      <name val="Century Gothic"/>
      <family val="2"/>
    </font>
    <font>
      <sz val="11"/>
      <name val="Century Gothic"/>
      <family val="2"/>
    </font>
    <font>
      <sz val="12"/>
      <color theme="1"/>
      <name val="Century Gothic"/>
      <family val="2"/>
    </font>
    <font>
      <b/>
      <sz val="12"/>
      <color rgb="FF000000"/>
      <name val="Century Gothic"/>
      <family val="2"/>
    </font>
    <font>
      <sz val="12"/>
      <color rgb="FF000000"/>
      <name val="Century Gothic"/>
      <family val="2"/>
    </font>
    <font>
      <sz val="14"/>
      <name val="Century Gothic"/>
      <family val="2"/>
      <scheme val="minor"/>
    </font>
    <font>
      <sz val="12"/>
      <name val="Century Gothic"/>
      <family val="2"/>
    </font>
  </fonts>
  <fills count="19">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rgb="FFC00000"/>
        <bgColor indexed="64"/>
      </patternFill>
    </fill>
    <fill>
      <patternFill patternType="solid">
        <fgColor theme="0" tint="-4.9989318521683403E-2"/>
        <bgColor indexed="64"/>
      </patternFill>
    </fill>
    <fill>
      <patternFill patternType="solid">
        <fgColor theme="3"/>
        <bgColor indexed="64"/>
      </patternFill>
    </fill>
    <fill>
      <patternFill patternType="solid">
        <fgColor rgb="FFFFC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rgb="FF92D050"/>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thick">
        <color theme="0"/>
      </left>
      <right style="thick">
        <color theme="0"/>
      </right>
      <top style="thick">
        <color theme="0"/>
      </top>
      <bottom style="thick">
        <color theme="0"/>
      </bottom>
      <diagonal/>
    </border>
    <border>
      <left style="thick">
        <color theme="0"/>
      </left>
      <right/>
      <top/>
      <bottom style="thick">
        <color theme="0"/>
      </bottom>
      <diagonal/>
    </border>
    <border>
      <left/>
      <right/>
      <top/>
      <bottom style="thick">
        <color theme="0"/>
      </bottom>
      <diagonal/>
    </border>
    <border>
      <left style="thick">
        <color theme="0"/>
      </left>
      <right style="thick">
        <color theme="0"/>
      </right>
      <top style="thick">
        <color theme="0"/>
      </top>
      <bottom/>
      <diagonal/>
    </border>
    <border>
      <left style="thick">
        <color theme="0"/>
      </left>
      <right style="thick">
        <color theme="0"/>
      </right>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style="thin">
        <color rgb="FF000000"/>
      </top>
      <bottom/>
      <diagonal/>
    </border>
    <border>
      <left/>
      <right/>
      <top style="thin">
        <color rgb="FF000000"/>
      </top>
      <bottom style="thin">
        <color rgb="FF000000"/>
      </bottom>
      <diagonal/>
    </border>
    <border>
      <left style="thick">
        <color theme="0"/>
      </left>
      <right style="thick">
        <color theme="0"/>
      </right>
      <top/>
      <bottom/>
      <diagonal/>
    </border>
    <border>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s>
  <cellStyleXfs count="4">
    <xf numFmtId="0" fontId="0" fillId="0" borderId="0"/>
    <xf numFmtId="0" fontId="1" fillId="0" borderId="0"/>
    <xf numFmtId="0" fontId="1" fillId="0" borderId="0"/>
    <xf numFmtId="9" fontId="1" fillId="0" borderId="0" applyFont="0" applyFill="0" applyBorder="0" applyAlignment="0" applyProtection="0"/>
  </cellStyleXfs>
  <cellXfs count="272">
    <xf numFmtId="0" fontId="0" fillId="0" borderId="0" xfId="0"/>
    <xf numFmtId="0" fontId="0" fillId="3" borderId="0" xfId="0" applyFill="1"/>
    <xf numFmtId="0" fontId="2" fillId="5"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4" borderId="1" xfId="0" applyFont="1" applyFill="1" applyBorder="1" applyAlignment="1">
      <alignment horizontal="center" vertical="center"/>
    </xf>
    <xf numFmtId="0" fontId="0" fillId="3" borderId="0" xfId="0" applyFill="1" applyAlignment="1">
      <alignment horizontal="center"/>
    </xf>
    <xf numFmtId="0" fontId="2" fillId="3" borderId="0" xfId="0" applyFont="1" applyFill="1" applyAlignment="1">
      <alignment vertical="center"/>
    </xf>
    <xf numFmtId="0" fontId="3" fillId="6" borderId="1" xfId="0" applyFont="1" applyFill="1" applyBorder="1" applyAlignment="1">
      <alignment horizontal="center" vertical="center"/>
    </xf>
    <xf numFmtId="0" fontId="0" fillId="0" borderId="0" xfId="0" applyAlignment="1">
      <alignment wrapText="1"/>
    </xf>
    <xf numFmtId="0" fontId="0" fillId="3" borderId="0" xfId="0" applyFill="1" applyAlignment="1">
      <alignment horizontal="center" vertical="center" wrapText="1"/>
    </xf>
    <xf numFmtId="0" fontId="2" fillId="0" borderId="0" xfId="0" applyFont="1" applyAlignment="1">
      <alignment wrapText="1"/>
    </xf>
    <xf numFmtId="0" fontId="0" fillId="0" borderId="0" xfId="0" applyAlignment="1">
      <alignment horizontal="center" wrapText="1"/>
    </xf>
    <xf numFmtId="0" fontId="3" fillId="6"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5" fillId="7" borderId="0" xfId="0" applyFont="1" applyFill="1"/>
    <xf numFmtId="0" fontId="5" fillId="7" borderId="0" xfId="0" applyFont="1" applyFill="1" applyAlignment="1">
      <alignment horizontal="center" wrapText="1"/>
    </xf>
    <xf numFmtId="0" fontId="5" fillId="7" borderId="0" xfId="0" applyFont="1" applyFill="1" applyAlignment="1">
      <alignment horizontal="left" vertical="center" wrapText="1"/>
    </xf>
    <xf numFmtId="0" fontId="5" fillId="7" borderId="0" xfId="0" applyFont="1" applyFill="1" applyAlignment="1">
      <alignment horizontal="left" vertical="top"/>
    </xf>
    <xf numFmtId="0" fontId="5" fillId="7" borderId="0" xfId="0" applyFont="1" applyFill="1" applyAlignment="1">
      <alignment horizontal="center" vertical="center"/>
    </xf>
    <xf numFmtId="0" fontId="0" fillId="10" borderId="0" xfId="0" applyFill="1"/>
    <xf numFmtId="0" fontId="0" fillId="9" borderId="2" xfId="0" applyFill="1" applyBorder="1" applyAlignment="1">
      <alignment horizontal="center" vertical="center"/>
    </xf>
    <xf numFmtId="0" fontId="0" fillId="7" borderId="2" xfId="0" applyFill="1" applyBorder="1" applyAlignment="1">
      <alignment horizontal="left" vertical="center" wrapText="1" indent="1"/>
    </xf>
    <xf numFmtId="0" fontId="0" fillId="7" borderId="2" xfId="0" applyFill="1" applyBorder="1" applyAlignment="1">
      <alignment horizontal="center" vertical="center"/>
    </xf>
    <xf numFmtId="0" fontId="0" fillId="7" borderId="2" xfId="0" applyFill="1" applyBorder="1" applyAlignment="1">
      <alignment horizontal="left" vertical="center" indent="1"/>
    </xf>
    <xf numFmtId="0" fontId="0" fillId="10" borderId="0" xfId="0" applyFill="1" applyAlignment="1">
      <alignment wrapText="1"/>
    </xf>
    <xf numFmtId="0" fontId="0" fillId="7" borderId="2" xfId="0" applyFill="1" applyBorder="1" applyAlignment="1">
      <alignment horizontal="center" vertical="center" wrapText="1"/>
    </xf>
    <xf numFmtId="0" fontId="0" fillId="7" borderId="5" xfId="0" applyFill="1" applyBorder="1" applyAlignment="1">
      <alignment horizontal="center" vertical="center"/>
    </xf>
    <xf numFmtId="0" fontId="0" fillId="7" borderId="6" xfId="0" applyFill="1" applyBorder="1" applyAlignment="1">
      <alignment horizontal="center" vertical="center"/>
    </xf>
    <xf numFmtId="0" fontId="8" fillId="5" borderId="2" xfId="0" applyFont="1" applyFill="1" applyBorder="1" applyAlignment="1">
      <alignment horizontal="center"/>
    </xf>
    <xf numFmtId="0" fontId="0" fillId="12" borderId="2" xfId="0" applyFill="1" applyBorder="1" applyAlignment="1">
      <alignment horizontal="center" vertical="center"/>
    </xf>
    <xf numFmtId="0" fontId="0" fillId="0" borderId="0" xfId="0" applyAlignment="1">
      <alignment horizontal="center" vertical="center"/>
    </xf>
    <xf numFmtId="0" fontId="0" fillId="10" borderId="0" xfId="0" applyFill="1" applyAlignment="1">
      <alignment horizontal="center" vertical="center"/>
    </xf>
    <xf numFmtId="0" fontId="8" fillId="13" borderId="2" xfId="0" applyFont="1" applyFill="1" applyBorder="1" applyAlignment="1">
      <alignment horizontal="center" vertical="center"/>
    </xf>
    <xf numFmtId="0" fontId="8" fillId="13" borderId="2" xfId="0" applyFont="1" applyFill="1" applyBorder="1" applyAlignment="1">
      <alignment horizontal="center" vertical="center" wrapText="1"/>
    </xf>
    <xf numFmtId="0" fontId="8" fillId="5" borderId="2" xfId="0" applyFont="1" applyFill="1" applyBorder="1" applyAlignment="1">
      <alignment horizontal="left" indent="1"/>
    </xf>
    <xf numFmtId="0" fontId="8" fillId="5" borderId="2" xfId="0" applyFont="1" applyFill="1" applyBorder="1" applyAlignment="1">
      <alignment horizontal="center" vertical="center"/>
    </xf>
    <xf numFmtId="0" fontId="3" fillId="5" borderId="2"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0" fillId="3" borderId="0" xfId="0" applyFill="1" applyAlignment="1">
      <alignment horizontal="center" vertical="center"/>
    </xf>
    <xf numFmtId="0" fontId="8" fillId="15" borderId="2" xfId="0" applyFont="1" applyFill="1" applyBorder="1" applyAlignment="1">
      <alignment horizontal="center" wrapText="1"/>
    </xf>
    <xf numFmtId="0" fontId="8" fillId="15" borderId="2" xfId="0" applyFont="1" applyFill="1" applyBorder="1" applyAlignment="1">
      <alignment horizontal="left" wrapText="1"/>
    </xf>
    <xf numFmtId="0" fontId="0" fillId="7" borderId="2" xfId="0" applyFill="1" applyBorder="1" applyAlignment="1">
      <alignment horizontal="left" vertical="center" wrapText="1"/>
    </xf>
    <xf numFmtId="0" fontId="14" fillId="7" borderId="0" xfId="0" applyFont="1" applyFill="1"/>
    <xf numFmtId="0" fontId="6" fillId="0" borderId="1" xfId="0" applyFont="1" applyBorder="1" applyAlignment="1">
      <alignment vertical="center" wrapText="1"/>
    </xf>
    <xf numFmtId="0" fontId="7" fillId="0" borderId="14" xfId="1" applyFont="1" applyBorder="1" applyAlignment="1">
      <alignment horizontal="center" vertical="center" wrapText="1"/>
    </xf>
    <xf numFmtId="0" fontId="7" fillId="0" borderId="1" xfId="1" applyFont="1" applyBorder="1" applyAlignment="1">
      <alignment horizontal="center" vertical="center" wrapText="1"/>
    </xf>
    <xf numFmtId="0" fontId="7" fillId="0" borderId="11" xfId="1" applyFont="1" applyBorder="1" applyAlignment="1">
      <alignment horizontal="center" vertical="center" wrapText="1"/>
    </xf>
    <xf numFmtId="0" fontId="7" fillId="7" borderId="16" xfId="1" applyFont="1" applyFill="1" applyBorder="1" applyAlignment="1">
      <alignment horizontal="center" vertical="center" wrapText="1"/>
    </xf>
    <xf numFmtId="0" fontId="7" fillId="7" borderId="11" xfId="1" applyFont="1" applyFill="1" applyBorder="1" applyAlignment="1">
      <alignment horizontal="center" vertical="center" wrapText="1"/>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39" xfId="0" applyFont="1" applyBorder="1" applyAlignment="1">
      <alignment horizontal="center" vertical="center" wrapText="1"/>
    </xf>
    <xf numFmtId="0" fontId="6" fillId="0" borderId="11" xfId="0" applyFont="1" applyBorder="1" applyAlignment="1">
      <alignment vertical="center" wrapText="1"/>
    </xf>
    <xf numFmtId="0" fontId="7" fillId="16" borderId="11" xfId="1" applyFont="1" applyFill="1" applyBorder="1" applyAlignment="1">
      <alignment horizontal="center" vertical="center" wrapText="1"/>
    </xf>
    <xf numFmtId="0" fontId="0" fillId="0" borderId="0" xfId="0" applyAlignment="1">
      <alignment horizontal="left" vertical="top" wrapText="1"/>
    </xf>
    <xf numFmtId="0" fontId="4" fillId="0" borderId="0" xfId="0" applyFont="1" applyAlignment="1">
      <alignment horizontal="center"/>
    </xf>
    <xf numFmtId="0" fontId="0" fillId="0" borderId="0" xfId="0" applyAlignment="1">
      <alignment vertical="top" wrapText="1"/>
    </xf>
    <xf numFmtId="0" fontId="0" fillId="0" borderId="0" xfId="0" applyAlignment="1">
      <alignment vertical="top"/>
    </xf>
    <xf numFmtId="0" fontId="4" fillId="0" borderId="0" xfId="0" applyFont="1" applyAlignment="1">
      <alignment horizontal="center" vertical="top"/>
    </xf>
    <xf numFmtId="0" fontId="4" fillId="0" borderId="0" xfId="0" applyFont="1" applyAlignment="1">
      <alignment horizontal="left" vertical="top" wrapText="1"/>
    </xf>
    <xf numFmtId="0" fontId="15" fillId="0" borderId="49"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51" xfId="0" applyFont="1" applyBorder="1" applyAlignment="1">
      <alignment horizontal="center" vertical="center" wrapText="1"/>
    </xf>
    <xf numFmtId="0" fontId="18" fillId="0" borderId="42" xfId="0" applyFont="1" applyBorder="1" applyAlignment="1">
      <alignment horizontal="center" vertical="center" wrapText="1"/>
    </xf>
    <xf numFmtId="0" fontId="18" fillId="0" borderId="45" xfId="0" applyFont="1" applyBorder="1" applyAlignment="1">
      <alignment horizontal="center" vertical="center" wrapText="1"/>
    </xf>
    <xf numFmtId="0" fontId="18" fillId="0" borderId="46" xfId="0" applyFont="1" applyBorder="1" applyAlignment="1">
      <alignment horizontal="center" vertical="top" wrapText="1"/>
    </xf>
    <xf numFmtId="164" fontId="18" fillId="0" borderId="45" xfId="0" applyNumberFormat="1" applyFont="1" applyBorder="1" applyAlignment="1">
      <alignment horizontal="center" vertical="center" wrapText="1"/>
    </xf>
    <xf numFmtId="0" fontId="18" fillId="0" borderId="46" xfId="0" applyFont="1" applyBorder="1" applyAlignment="1">
      <alignment horizontal="center" vertical="center" wrapText="1"/>
    </xf>
    <xf numFmtId="0" fontId="5" fillId="0" borderId="1" xfId="0" applyFont="1" applyBorder="1" applyAlignment="1">
      <alignment horizontal="center" vertical="center"/>
    </xf>
    <xf numFmtId="0" fontId="18" fillId="0" borderId="47" xfId="0" applyFont="1" applyBorder="1" applyAlignment="1">
      <alignment horizontal="center" vertical="center" wrapText="1"/>
    </xf>
    <xf numFmtId="0" fontId="18" fillId="0" borderId="42" xfId="0" applyFont="1" applyBorder="1" applyAlignment="1">
      <alignment vertical="center" wrapText="1"/>
    </xf>
    <xf numFmtId="0" fontId="19" fillId="0" borderId="42" xfId="0" applyFont="1" applyBorder="1" applyAlignment="1">
      <alignment horizontal="center" vertical="center" wrapText="1"/>
    </xf>
    <xf numFmtId="0" fontId="18" fillId="0" borderId="4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horizontal="center" vertical="top" wrapText="1"/>
    </xf>
    <xf numFmtId="0" fontId="7" fillId="18" borderId="1" xfId="1" applyFont="1" applyFill="1" applyBorder="1" applyAlignment="1">
      <alignment horizontal="center" vertical="center" wrapText="1"/>
    </xf>
    <xf numFmtId="0" fontId="5" fillId="9" borderId="1" xfId="0" applyFont="1" applyFill="1" applyBorder="1" applyAlignment="1">
      <alignment horizontal="center" vertical="center"/>
    </xf>
    <xf numFmtId="164" fontId="20" fillId="0" borderId="1" xfId="0" applyNumberFormat="1" applyFont="1" applyBorder="1" applyAlignment="1">
      <alignment horizontal="center" vertical="center" wrapText="1"/>
    </xf>
    <xf numFmtId="0" fontId="5" fillId="0" borderId="1" xfId="0" applyFont="1" applyBorder="1" applyAlignment="1">
      <alignment horizontal="left" vertical="top" wrapText="1"/>
    </xf>
    <xf numFmtId="0" fontId="5" fillId="4" borderId="1" xfId="0" applyFont="1" applyFill="1" applyBorder="1" applyAlignment="1">
      <alignment horizontal="center" vertical="center"/>
    </xf>
    <xf numFmtId="0" fontId="5" fillId="18" borderId="1" xfId="0" applyFont="1" applyFill="1" applyBorder="1" applyAlignment="1">
      <alignment horizontal="center" vertical="center"/>
    </xf>
    <xf numFmtId="0" fontId="13"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15" fillId="0" borderId="55" xfId="0" applyFont="1" applyBorder="1" applyAlignment="1">
      <alignment horizontal="center" vertical="center" wrapText="1"/>
    </xf>
    <xf numFmtId="0" fontId="17" fillId="0" borderId="1" xfId="0" applyFont="1" applyBorder="1" applyAlignment="1">
      <alignment horizontal="center" vertical="center" wrapText="1"/>
    </xf>
    <xf numFmtId="0" fontId="15" fillId="0" borderId="0" xfId="0" applyFont="1" applyAlignment="1">
      <alignment horizontal="center" vertical="center" wrapText="1"/>
    </xf>
    <xf numFmtId="0" fontId="7" fillId="0" borderId="10" xfId="1" applyFont="1" applyBorder="1" applyAlignment="1">
      <alignment horizontal="center" vertical="center" wrapText="1"/>
    </xf>
    <xf numFmtId="0" fontId="18" fillId="0" borderId="47" xfId="0" applyFont="1" applyBorder="1" applyAlignment="1">
      <alignment horizontal="center" vertical="top" wrapText="1"/>
    </xf>
    <xf numFmtId="164" fontId="18" fillId="0" borderId="42" xfId="0" applyNumberFormat="1" applyFont="1" applyBorder="1" applyAlignment="1">
      <alignment horizontal="center" vertical="center" wrapText="1"/>
    </xf>
    <xf numFmtId="14" fontId="5" fillId="0" borderId="1" xfId="0" applyNumberFormat="1" applyFont="1" applyBorder="1" applyAlignment="1">
      <alignment horizontal="center" vertical="center"/>
    </xf>
    <xf numFmtId="14" fontId="7" fillId="0" borderId="1" xfId="1" applyNumberFormat="1" applyFont="1" applyBorder="1" applyAlignment="1">
      <alignment horizontal="center" vertical="center" wrapText="1"/>
    </xf>
    <xf numFmtId="0" fontId="15" fillId="0" borderId="0" xfId="0" applyFont="1" applyAlignment="1">
      <alignment horizontal="center" vertical="center"/>
    </xf>
    <xf numFmtId="0" fontId="13" fillId="0" borderId="0" xfId="0" applyFont="1" applyAlignment="1">
      <alignment horizontal="center" vertical="center" wrapText="1"/>
    </xf>
    <xf numFmtId="0" fontId="2" fillId="9" borderId="1" xfId="0" applyFont="1" applyFill="1" applyBorder="1" applyAlignment="1">
      <alignment horizontal="center" vertical="center" wrapText="1"/>
    </xf>
    <xf numFmtId="0" fontId="2" fillId="9" borderId="1" xfId="0" applyFont="1" applyFill="1" applyBorder="1" applyAlignment="1">
      <alignment horizontal="center" vertical="center"/>
    </xf>
    <xf numFmtId="0" fontId="7" fillId="0" borderId="59" xfId="1" applyFont="1" applyBorder="1" applyAlignment="1">
      <alignment horizontal="center" vertical="center" wrapText="1"/>
    </xf>
    <xf numFmtId="0" fontId="18" fillId="0" borderId="62" xfId="0" applyFont="1" applyBorder="1" applyAlignment="1">
      <alignment horizontal="center" vertical="center" wrapText="1"/>
    </xf>
    <xf numFmtId="0" fontId="5" fillId="0" borderId="1" xfId="0" applyFont="1" applyBorder="1" applyAlignment="1">
      <alignment horizontal="center" vertical="center" wrapText="1"/>
    </xf>
    <xf numFmtId="0" fontId="7" fillId="17" borderId="1" xfId="1" applyFont="1" applyFill="1" applyBorder="1" applyAlignment="1">
      <alignment horizontal="center" vertical="center" wrapText="1"/>
    </xf>
    <xf numFmtId="0" fontId="17" fillId="0" borderId="1" xfId="0" applyFont="1" applyBorder="1" applyAlignment="1">
      <alignment horizontal="center" vertical="center"/>
    </xf>
    <xf numFmtId="0" fontId="5" fillId="6" borderId="10" xfId="0" applyFont="1" applyFill="1" applyBorder="1" applyAlignment="1">
      <alignment horizontal="center" vertical="center"/>
    </xf>
    <xf numFmtId="0" fontId="5" fillId="9" borderId="10" xfId="0" applyFont="1" applyFill="1" applyBorder="1" applyAlignment="1">
      <alignment horizontal="center" vertical="center"/>
    </xf>
    <xf numFmtId="0" fontId="5" fillId="0" borderId="59" xfId="0" applyFont="1" applyBorder="1" applyAlignment="1">
      <alignment horizontal="center" vertical="top" wrapText="1"/>
    </xf>
    <xf numFmtId="0" fontId="18" fillId="0" borderId="48" xfId="0" applyFont="1" applyBorder="1" applyAlignment="1">
      <alignment horizontal="center" vertical="top" wrapText="1"/>
    </xf>
    <xf numFmtId="0" fontId="18" fillId="0" borderId="1" xfId="0" applyFont="1" applyBorder="1" applyAlignment="1">
      <alignment horizontal="center" vertical="center" wrapText="1"/>
    </xf>
    <xf numFmtId="0" fontId="17" fillId="0" borderId="43" xfId="0" applyFont="1" applyBorder="1" applyAlignment="1">
      <alignment horizontal="center" vertical="center" wrapText="1"/>
    </xf>
    <xf numFmtId="164" fontId="18" fillId="0" borderId="43" xfId="0" applyNumberFormat="1" applyFont="1" applyBorder="1" applyAlignment="1">
      <alignment horizontal="center" vertical="center" wrapText="1"/>
    </xf>
    <xf numFmtId="164" fontId="18" fillId="0" borderId="1" xfId="0" applyNumberFormat="1" applyFont="1" applyBorder="1" applyAlignment="1">
      <alignment horizontal="center" vertical="center" wrapText="1"/>
    </xf>
    <xf numFmtId="0" fontId="18" fillId="0" borderId="1" xfId="0" applyFont="1" applyBorder="1" applyAlignment="1">
      <alignment horizontal="center" vertical="top" wrapText="1"/>
    </xf>
    <xf numFmtId="0" fontId="18" fillId="0" borderId="10" xfId="0" applyFont="1" applyBorder="1" applyAlignment="1">
      <alignment horizontal="center" vertical="top" wrapText="1"/>
    </xf>
    <xf numFmtId="0" fontId="17" fillId="0" borderId="1" xfId="0" applyFont="1" applyBorder="1"/>
    <xf numFmtId="0" fontId="18" fillId="0" borderId="1" xfId="0" applyFont="1" applyBorder="1" applyAlignment="1">
      <alignment vertical="center" wrapText="1"/>
    </xf>
    <xf numFmtId="164" fontId="18" fillId="0" borderId="1" xfId="0" applyNumberFormat="1" applyFont="1" applyBorder="1" applyAlignment="1">
      <alignment vertical="center" wrapText="1"/>
    </xf>
    <xf numFmtId="0" fontId="17" fillId="0" borderId="1" xfId="0" applyFont="1" applyBorder="1" applyAlignment="1">
      <alignment wrapText="1"/>
    </xf>
    <xf numFmtId="0" fontId="18" fillId="0" borderId="66" xfId="0" applyFont="1" applyBorder="1" applyAlignment="1">
      <alignment horizontal="center" vertical="top" wrapText="1"/>
    </xf>
    <xf numFmtId="0" fontId="22" fillId="0" borderId="1" xfId="0" applyFont="1" applyBorder="1" applyAlignment="1">
      <alignment horizontal="center" vertical="center"/>
    </xf>
    <xf numFmtId="0" fontId="22" fillId="0" borderId="1" xfId="0" applyFont="1" applyBorder="1" applyAlignment="1">
      <alignment horizontal="left" vertical="center" wrapText="1"/>
    </xf>
    <xf numFmtId="0" fontId="18" fillId="0" borderId="64" xfId="0" applyFont="1" applyBorder="1" applyAlignment="1">
      <alignment vertical="center" wrapText="1"/>
    </xf>
    <xf numFmtId="0" fontId="17" fillId="0" borderId="65" xfId="0" applyFont="1" applyBorder="1"/>
    <xf numFmtId="0" fontId="7" fillId="9" borderId="1" xfId="1" applyFont="1" applyFill="1" applyBorder="1" applyAlignment="1">
      <alignment horizontal="center" vertical="center" wrapText="1"/>
    </xf>
    <xf numFmtId="0" fontId="5" fillId="17" borderId="1" xfId="0" applyFont="1" applyFill="1" applyBorder="1" applyAlignment="1">
      <alignment horizontal="center" vertical="center"/>
    </xf>
    <xf numFmtId="0" fontId="18" fillId="0" borderId="67" xfId="0" applyFont="1" applyBorder="1" applyAlignment="1">
      <alignment horizontal="center" vertical="center" wrapText="1"/>
    </xf>
    <xf numFmtId="0" fontId="18" fillId="0" borderId="1" xfId="0" applyFont="1" applyBorder="1" applyAlignment="1">
      <alignment horizontal="left" vertical="center" wrapText="1"/>
    </xf>
    <xf numFmtId="0" fontId="18" fillId="0" borderId="43" xfId="0" applyFont="1" applyBorder="1" applyAlignment="1">
      <alignment horizontal="center" vertical="center" wrapText="1"/>
    </xf>
    <xf numFmtId="0" fontId="18" fillId="0" borderId="48" xfId="0" applyFont="1" applyBorder="1" applyAlignment="1">
      <alignment horizontal="center" vertical="center" wrapText="1"/>
    </xf>
    <xf numFmtId="0" fontId="18" fillId="0" borderId="63" xfId="0" applyFont="1" applyBorder="1" applyAlignment="1">
      <alignment horizontal="center" vertical="top" wrapText="1"/>
    </xf>
    <xf numFmtId="14" fontId="5" fillId="0" borderId="1" xfId="0" applyNumberFormat="1" applyFont="1" applyBorder="1" applyAlignment="1">
      <alignment horizontal="center" vertical="center" wrapText="1"/>
    </xf>
    <xf numFmtId="0" fontId="5" fillId="0" borderId="59" xfId="0" applyFont="1" applyBorder="1" applyAlignment="1">
      <alignment horizontal="center" vertical="center" wrapText="1"/>
    </xf>
    <xf numFmtId="0" fontId="7" fillId="4" borderId="1" xfId="1" applyFont="1" applyFill="1" applyBorder="1" applyAlignment="1">
      <alignment horizontal="center" vertical="center" wrapText="1"/>
    </xf>
    <xf numFmtId="0" fontId="18" fillId="0" borderId="47" xfId="0" applyFont="1" applyBorder="1" applyAlignment="1">
      <alignment horizontal="left" vertical="center" wrapText="1"/>
    </xf>
    <xf numFmtId="0" fontId="18" fillId="0" borderId="45" xfId="0" applyFont="1" applyBorder="1" applyAlignment="1">
      <alignment horizontal="left" vertical="center" wrapText="1"/>
    </xf>
    <xf numFmtId="0" fontId="0" fillId="7" borderId="5" xfId="0" applyFill="1" applyBorder="1" applyAlignment="1">
      <alignment horizontal="center" vertical="center" wrapText="1"/>
    </xf>
    <xf numFmtId="0" fontId="0" fillId="7" borderId="6" xfId="0" applyFill="1" applyBorder="1" applyAlignment="1">
      <alignment horizontal="center" vertical="center" wrapText="1"/>
    </xf>
    <xf numFmtId="0" fontId="0" fillId="11" borderId="7" xfId="0" applyFill="1" applyBorder="1" applyAlignment="1">
      <alignment horizontal="center" vertical="center"/>
    </xf>
    <xf numFmtId="0" fontId="0" fillId="11" borderId="8" xfId="0" applyFill="1" applyBorder="1" applyAlignment="1">
      <alignment horizontal="center" vertical="center"/>
    </xf>
    <xf numFmtId="0" fontId="0" fillId="7" borderId="6" xfId="0" applyFill="1" applyBorder="1" applyAlignment="1">
      <alignment horizontal="left" wrapText="1" indent="1"/>
    </xf>
    <xf numFmtId="0" fontId="0" fillId="7" borderId="68" xfId="0" applyFill="1" applyBorder="1" applyAlignment="1">
      <alignment horizontal="center" vertical="center"/>
    </xf>
    <xf numFmtId="0" fontId="0" fillId="7" borderId="68" xfId="0" applyFill="1" applyBorder="1" applyAlignment="1">
      <alignment horizontal="center" vertical="center" wrapText="1"/>
    </xf>
    <xf numFmtId="0" fontId="18" fillId="0" borderId="44" xfId="0" applyFont="1" applyBorder="1" applyAlignment="1">
      <alignment vertical="center" wrapText="1"/>
    </xf>
    <xf numFmtId="0" fontId="16" fillId="0" borderId="44" xfId="0" applyFont="1" applyBorder="1" applyAlignment="1">
      <alignment horizontal="center" vertical="center" wrapText="1"/>
    </xf>
    <xf numFmtId="0" fontId="0" fillId="7" borderId="68" xfId="0" applyFill="1" applyBorder="1" applyAlignment="1">
      <alignment horizontal="left" wrapText="1" indent="1"/>
    </xf>
    <xf numFmtId="0" fontId="17" fillId="0" borderId="0" xfId="0" applyFont="1"/>
    <xf numFmtId="14" fontId="18" fillId="0" borderId="45" xfId="0" applyNumberFormat="1" applyFont="1" applyBorder="1" applyAlignment="1">
      <alignment horizontal="center" vertical="center" wrapText="1"/>
    </xf>
    <xf numFmtId="0" fontId="17" fillId="0" borderId="63" xfId="0" applyFont="1" applyBorder="1" applyAlignment="1">
      <alignment horizontal="center" vertical="center" wrapText="1"/>
    </xf>
    <xf numFmtId="0" fontId="15" fillId="0" borderId="57" xfId="0" applyFont="1" applyBorder="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0" fontId="15" fillId="0" borderId="2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15" fillId="0" borderId="24" xfId="0" applyFont="1" applyBorder="1" applyAlignment="1">
      <alignment horizontal="center" vertical="center"/>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1" xfId="0" applyFont="1" applyBorder="1" applyAlignment="1">
      <alignment horizontal="center" vertical="center"/>
    </xf>
    <xf numFmtId="0" fontId="15" fillId="0" borderId="21" xfId="0" applyFont="1" applyBorder="1" applyAlignment="1">
      <alignment horizontal="center" vertical="center"/>
    </xf>
    <xf numFmtId="0" fontId="15" fillId="0" borderId="1"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38"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3"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37"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29" xfId="0" applyFont="1" applyBorder="1" applyAlignment="1">
      <alignment horizontal="center" vertical="center"/>
    </xf>
    <xf numFmtId="0" fontId="15" fillId="0" borderId="30" xfId="0" applyFont="1" applyBorder="1" applyAlignment="1">
      <alignment horizontal="center" vertical="center"/>
    </xf>
    <xf numFmtId="0" fontId="15" fillId="0" borderId="17" xfId="0" applyFont="1" applyBorder="1" applyAlignment="1">
      <alignment horizontal="center" vertical="center"/>
    </xf>
    <xf numFmtId="0" fontId="15" fillId="0" borderId="31" xfId="0" applyFont="1" applyBorder="1" applyAlignment="1">
      <alignment horizontal="center" vertical="center"/>
    </xf>
    <xf numFmtId="0" fontId="15" fillId="0" borderId="24"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0" xfId="0" applyFont="1" applyAlignment="1">
      <alignment horizontal="center" vertical="center" wrapText="1"/>
    </xf>
    <xf numFmtId="0" fontId="15" fillId="0" borderId="33"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41" xfId="0" applyFont="1" applyBorder="1" applyAlignment="1">
      <alignment horizontal="center" vertical="center" wrapText="1"/>
    </xf>
    <xf numFmtId="0" fontId="15" fillId="0" borderId="40"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18" xfId="0" applyFont="1" applyBorder="1" applyAlignment="1">
      <alignment horizontal="center" vertical="center" wrapText="1"/>
    </xf>
    <xf numFmtId="0" fontId="16" fillId="0" borderId="47" xfId="0" applyFont="1" applyBorder="1" applyAlignment="1">
      <alignment horizontal="center" vertical="center" wrapText="1"/>
    </xf>
    <xf numFmtId="0" fontId="17" fillId="0" borderId="48" xfId="0" applyFont="1" applyBorder="1"/>
    <xf numFmtId="0" fontId="18" fillId="0" borderId="1" xfId="0" applyFont="1" applyBorder="1" applyAlignment="1">
      <alignment horizontal="center" vertical="center" wrapText="1"/>
    </xf>
    <xf numFmtId="0" fontId="17" fillId="0" borderId="1" xfId="0" applyFont="1" applyBorder="1"/>
    <xf numFmtId="14" fontId="5" fillId="0" borderId="10" xfId="0" applyNumberFormat="1" applyFont="1" applyBorder="1" applyAlignment="1">
      <alignment horizontal="center" vertical="center"/>
    </xf>
    <xf numFmtId="14" fontId="5" fillId="0" borderId="11" xfId="0" applyNumberFormat="1" applyFont="1" applyBorder="1" applyAlignment="1">
      <alignment horizontal="center" vertical="center"/>
    </xf>
    <xf numFmtId="0" fontId="5" fillId="0" borderId="10" xfId="0" applyFont="1" applyBorder="1" applyAlignment="1">
      <alignment horizontal="center" vertical="top" wrapText="1"/>
    </xf>
    <xf numFmtId="0" fontId="5" fillId="0" borderId="11" xfId="0" applyFont="1" applyBorder="1" applyAlignment="1">
      <alignment horizontal="center" vertical="top" wrapText="1"/>
    </xf>
    <xf numFmtId="0" fontId="16" fillId="0" borderId="42" xfId="0" applyFont="1" applyBorder="1" applyAlignment="1">
      <alignment horizontal="center" vertical="center" wrapText="1"/>
    </xf>
    <xf numFmtId="0" fontId="17" fillId="0" borderId="43" xfId="0" applyFont="1" applyBorder="1"/>
    <xf numFmtId="0" fontId="17" fillId="0" borderId="44" xfId="0" applyFont="1" applyBorder="1"/>
    <xf numFmtId="0" fontId="18" fillId="0" borderId="42" xfId="0" applyFont="1" applyBorder="1" applyAlignment="1">
      <alignment horizontal="center" vertical="center" wrapText="1"/>
    </xf>
    <xf numFmtId="0" fontId="16" fillId="0" borderId="43" xfId="0" applyFont="1" applyBorder="1" applyAlignment="1">
      <alignment horizontal="center" vertical="center" wrapText="1"/>
    </xf>
    <xf numFmtId="0" fontId="7" fillId="0" borderId="59" xfId="1" applyFont="1" applyBorder="1" applyAlignment="1">
      <alignment horizontal="center" vertical="center" wrapText="1"/>
    </xf>
    <xf numFmtId="0" fontId="7" fillId="0" borderId="60" xfId="1" applyFont="1" applyBorder="1" applyAlignment="1">
      <alignment horizontal="center" vertical="center" wrapText="1"/>
    </xf>
    <xf numFmtId="0" fontId="7" fillId="0" borderId="61" xfId="1" applyFont="1" applyBorder="1" applyAlignment="1">
      <alignment horizontal="center" vertical="center" wrapText="1"/>
    </xf>
    <xf numFmtId="0" fontId="18" fillId="0" borderId="43" xfId="0" applyFont="1" applyBorder="1" applyAlignment="1">
      <alignment horizontal="center" vertical="center" wrapText="1"/>
    </xf>
    <xf numFmtId="164" fontId="18" fillId="0" borderId="64" xfId="0" applyNumberFormat="1" applyFont="1" applyBorder="1" applyAlignment="1">
      <alignment horizontal="center" vertical="center" wrapText="1"/>
    </xf>
    <xf numFmtId="164" fontId="18" fillId="0" borderId="65" xfId="0" applyNumberFormat="1" applyFont="1" applyBorder="1" applyAlignment="1">
      <alignment horizontal="center" vertical="center" wrapText="1"/>
    </xf>
    <xf numFmtId="164" fontId="18" fillId="0" borderId="69" xfId="0" applyNumberFormat="1" applyFont="1" applyBorder="1" applyAlignment="1">
      <alignment horizontal="center" vertical="center" wrapText="1"/>
    </xf>
    <xf numFmtId="0" fontId="18" fillId="0" borderId="62" xfId="0" applyFont="1" applyBorder="1" applyAlignment="1">
      <alignment horizontal="center" vertical="center" wrapText="1"/>
    </xf>
    <xf numFmtId="0" fontId="18" fillId="0" borderId="63" xfId="0" applyFont="1" applyBorder="1" applyAlignment="1">
      <alignment horizontal="center" vertical="center" wrapText="1"/>
    </xf>
    <xf numFmtId="0" fontId="18" fillId="0" borderId="70" xfId="0" applyFont="1" applyBorder="1" applyAlignment="1">
      <alignment horizontal="center" vertical="center" wrapText="1"/>
    </xf>
    <xf numFmtId="0" fontId="18" fillId="0" borderId="66" xfId="0" applyFont="1" applyBorder="1" applyAlignment="1">
      <alignment horizontal="center" vertical="center" wrapText="1"/>
    </xf>
    <xf numFmtId="0" fontId="18" fillId="0" borderId="71" xfId="0" applyFont="1" applyBorder="1" applyAlignment="1">
      <alignment horizontal="center" vertical="center" wrapText="1"/>
    </xf>
    <xf numFmtId="0" fontId="18" fillId="0" borderId="72" xfId="0" applyFont="1" applyBorder="1" applyAlignment="1">
      <alignment horizontal="center" vertical="center" wrapText="1"/>
    </xf>
    <xf numFmtId="14" fontId="5" fillId="0" borderId="71" xfId="0" applyNumberFormat="1" applyFont="1" applyBorder="1" applyAlignment="1">
      <alignment horizontal="center" vertical="center"/>
    </xf>
    <xf numFmtId="0" fontId="5" fillId="0" borderId="59" xfId="0" applyFont="1" applyBorder="1" applyAlignment="1">
      <alignment horizontal="center" vertical="top" wrapText="1"/>
    </xf>
    <xf numFmtId="0" fontId="5" fillId="0" borderId="60" xfId="0" applyFont="1" applyBorder="1" applyAlignment="1">
      <alignment horizontal="center" vertical="top" wrapText="1"/>
    </xf>
    <xf numFmtId="0" fontId="5" fillId="0" borderId="61" xfId="0" applyFont="1" applyBorder="1" applyAlignment="1">
      <alignment horizontal="center" vertical="top" wrapText="1"/>
    </xf>
    <xf numFmtId="0" fontId="18" fillId="0" borderId="44"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33"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10" xfId="0" applyFont="1" applyBorder="1" applyAlignment="1">
      <alignment horizontal="center" vertical="center" wrapText="1"/>
    </xf>
    <xf numFmtId="0" fontId="13" fillId="0" borderId="52" xfId="0" applyFont="1" applyBorder="1" applyAlignment="1">
      <alignment horizontal="center" vertical="center" wrapText="1"/>
    </xf>
    <xf numFmtId="0" fontId="21" fillId="0" borderId="57" xfId="0" applyFont="1" applyBorder="1" applyAlignment="1">
      <alignment horizontal="right" vertical="center"/>
    </xf>
    <xf numFmtId="0" fontId="21" fillId="0" borderId="14" xfId="0" applyFont="1" applyBorder="1" applyAlignment="1">
      <alignment horizontal="right" vertical="center"/>
    </xf>
    <xf numFmtId="0" fontId="21" fillId="0" borderId="20" xfId="0" applyFont="1" applyBorder="1" applyAlignment="1">
      <alignment horizontal="right" vertical="center"/>
    </xf>
    <xf numFmtId="0" fontId="21" fillId="0" borderId="40" xfId="0" applyFont="1" applyBorder="1" applyAlignment="1">
      <alignment horizontal="right" vertical="center"/>
    </xf>
    <xf numFmtId="0" fontId="19" fillId="0" borderId="42" xfId="0" applyFont="1" applyBorder="1" applyAlignment="1">
      <alignment horizontal="center" vertical="center" wrapText="1"/>
    </xf>
    <xf numFmtId="0" fontId="18" fillId="0" borderId="47"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58" xfId="0" applyFont="1" applyBorder="1" applyAlignment="1">
      <alignment horizontal="center" vertical="center"/>
    </xf>
    <xf numFmtId="0" fontId="15" fillId="0" borderId="74" xfId="0" applyFont="1" applyBorder="1" applyAlignment="1">
      <alignment horizontal="center" vertical="center"/>
    </xf>
    <xf numFmtId="0" fontId="15" fillId="0" borderId="75" xfId="0" applyFont="1" applyBorder="1" applyAlignment="1">
      <alignment horizontal="center" vertical="center"/>
    </xf>
    <xf numFmtId="0" fontId="15" fillId="0" borderId="76" xfId="0" applyFont="1" applyBorder="1" applyAlignment="1">
      <alignment horizontal="center" vertical="center"/>
    </xf>
    <xf numFmtId="0" fontId="15" fillId="0" borderId="73" xfId="0" applyFont="1" applyBorder="1" applyAlignment="1">
      <alignment horizontal="center" vertical="center"/>
    </xf>
    <xf numFmtId="0" fontId="8" fillId="6" borderId="7" xfId="0" applyFont="1" applyFill="1" applyBorder="1" applyAlignment="1">
      <alignment horizontal="center" wrapText="1"/>
    </xf>
    <xf numFmtId="0" fontId="8" fillId="6" borderId="9" xfId="0" applyFont="1" applyFill="1" applyBorder="1" applyAlignment="1">
      <alignment horizontal="center" wrapText="1"/>
    </xf>
    <xf numFmtId="0" fontId="8" fillId="6" borderId="8" xfId="0" applyFont="1" applyFill="1" applyBorder="1" applyAlignment="1">
      <alignment horizontal="center" wrapText="1"/>
    </xf>
    <xf numFmtId="0" fontId="9" fillId="8" borderId="2" xfId="0" applyFont="1" applyFill="1" applyBorder="1" applyAlignment="1">
      <alignment horizontal="center" vertical="center" wrapText="1"/>
    </xf>
    <xf numFmtId="0" fontId="8" fillId="13" borderId="2" xfId="0" applyFont="1" applyFill="1" applyBorder="1" applyAlignment="1">
      <alignment horizontal="center" wrapText="1"/>
    </xf>
    <xf numFmtId="0" fontId="0" fillId="9" borderId="2" xfId="0" applyFill="1" applyBorder="1" applyAlignment="1">
      <alignment horizontal="center"/>
    </xf>
    <xf numFmtId="0" fontId="0" fillId="7" borderId="2" xfId="0" applyFill="1" applyBorder="1" applyAlignment="1">
      <alignment horizontal="center" vertical="center" wrapText="1"/>
    </xf>
    <xf numFmtId="0" fontId="8" fillId="14" borderId="2" xfId="0" applyFont="1" applyFill="1" applyBorder="1" applyAlignment="1">
      <alignment horizontal="center" vertical="center" wrapText="1"/>
    </xf>
    <xf numFmtId="0" fontId="8" fillId="14" borderId="2" xfId="0" applyFont="1" applyFill="1" applyBorder="1" applyAlignment="1">
      <alignment horizontal="center" vertical="center"/>
    </xf>
    <xf numFmtId="0" fontId="12" fillId="13" borderId="2" xfId="0" applyFont="1" applyFill="1" applyBorder="1" applyAlignment="1">
      <alignment horizontal="center" wrapText="1"/>
    </xf>
    <xf numFmtId="0" fontId="0" fillId="7" borderId="5" xfId="0" applyFill="1" applyBorder="1" applyAlignment="1">
      <alignment horizontal="center" vertical="center"/>
    </xf>
    <xf numFmtId="0" fontId="0" fillId="7" borderId="6" xfId="0" applyFill="1" applyBorder="1" applyAlignment="1">
      <alignment horizontal="center" vertical="center"/>
    </xf>
    <xf numFmtId="0" fontId="9" fillId="8" borderId="3" xfId="0" applyFont="1" applyFill="1" applyBorder="1" applyAlignment="1">
      <alignment horizontal="center" vertical="center" wrapText="1"/>
    </xf>
    <xf numFmtId="0" fontId="9" fillId="8" borderId="4"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14" borderId="5" xfId="0" applyFont="1" applyFill="1" applyBorder="1" applyAlignment="1">
      <alignment horizontal="center" vertical="center" wrapText="1"/>
    </xf>
    <xf numFmtId="0" fontId="8" fillId="14" borderId="6" xfId="0" applyFont="1" applyFill="1" applyBorder="1" applyAlignment="1">
      <alignment horizontal="center" vertical="center" wrapText="1"/>
    </xf>
    <xf numFmtId="0" fontId="11" fillId="7" borderId="2" xfId="0" applyFont="1" applyFill="1" applyBorder="1" applyAlignment="1">
      <alignment horizontal="center" vertical="center" wrapText="1"/>
    </xf>
    <xf numFmtId="0" fontId="8" fillId="14" borderId="5" xfId="0" applyFont="1" applyFill="1" applyBorder="1" applyAlignment="1">
      <alignment horizontal="center" vertical="center"/>
    </xf>
    <xf numFmtId="0" fontId="8" fillId="14" borderId="6" xfId="0" applyFont="1" applyFill="1" applyBorder="1" applyAlignment="1">
      <alignment horizontal="center" vertical="center"/>
    </xf>
    <xf numFmtId="0" fontId="0" fillId="7" borderId="5" xfId="0" applyFill="1" applyBorder="1" applyAlignment="1">
      <alignment horizontal="center" vertical="center" wrapText="1"/>
    </xf>
    <xf numFmtId="0" fontId="0" fillId="7" borderId="6" xfId="0" applyFill="1" applyBorder="1" applyAlignment="1">
      <alignment horizontal="center" vertical="center" wrapText="1"/>
    </xf>
    <xf numFmtId="0" fontId="0" fillId="11" borderId="7" xfId="0" applyFill="1" applyBorder="1" applyAlignment="1">
      <alignment horizontal="center" vertical="center"/>
    </xf>
    <xf numFmtId="0" fontId="0" fillId="11" borderId="8" xfId="0" applyFill="1" applyBorder="1" applyAlignment="1">
      <alignment horizontal="center" vertical="center"/>
    </xf>
    <xf numFmtId="0" fontId="0" fillId="7" borderId="5" xfId="0" applyFill="1" applyBorder="1" applyAlignment="1">
      <alignment horizontal="left" wrapText="1" indent="1"/>
    </xf>
    <xf numFmtId="0" fontId="0" fillId="7" borderId="6" xfId="0" applyFill="1" applyBorder="1" applyAlignment="1">
      <alignment horizontal="left" wrapText="1" indent="1"/>
    </xf>
    <xf numFmtId="0" fontId="3" fillId="8" borderId="7"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0" fillId="7" borderId="5" xfId="0" applyFill="1" applyBorder="1" applyAlignment="1">
      <alignment horizontal="center" wrapText="1"/>
    </xf>
    <xf numFmtId="0" fontId="0" fillId="7" borderId="68" xfId="0" applyFill="1" applyBorder="1" applyAlignment="1">
      <alignment horizontal="center" wrapText="1"/>
    </xf>
    <xf numFmtId="0" fontId="0" fillId="7" borderId="68" xfId="0" applyFill="1" applyBorder="1" applyAlignment="1">
      <alignment horizontal="center" vertical="center" wrapText="1"/>
    </xf>
    <xf numFmtId="0" fontId="8" fillId="8" borderId="2" xfId="0" applyFont="1" applyFill="1" applyBorder="1" applyAlignment="1">
      <alignment horizontal="center" wrapText="1"/>
    </xf>
    <xf numFmtId="0" fontId="4" fillId="3" borderId="0" xfId="0" applyFont="1" applyFill="1" applyAlignment="1">
      <alignment horizontal="center"/>
    </xf>
    <xf numFmtId="0" fontId="2" fillId="3" borderId="0" xfId="0" applyFont="1" applyFill="1" applyAlignment="1">
      <alignment horizontal="center"/>
    </xf>
    <xf numFmtId="0" fontId="2" fillId="0" borderId="0" xfId="0" applyFont="1" applyAlignment="1">
      <alignment horizontal="center" wrapText="1"/>
    </xf>
  </cellXfs>
  <cellStyles count="4">
    <cellStyle name="Normal" xfId="0" builtinId="0"/>
    <cellStyle name="Normal 2" xfId="1" xr:uid="{00000000-0005-0000-0000-000001000000}"/>
    <cellStyle name="Normal 3" xfId="2" xr:uid="{00000000-0005-0000-0000-000002000000}"/>
    <cellStyle name="Percent 2" xfId="3" xr:uid="{00000000-0005-0000-0000-000004000000}"/>
  </cellStyles>
  <dxfs count="85">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C00000"/>
        </patternFill>
      </fill>
    </dxf>
    <dxf>
      <fill>
        <patternFill>
          <bgColor rgb="FFFF0000"/>
        </patternFill>
      </fill>
    </dxf>
    <dxf>
      <fill>
        <patternFill>
          <bgColor rgb="FF00B050"/>
        </patternFill>
      </fill>
    </dxf>
    <dxf>
      <fill>
        <patternFill>
          <bgColor rgb="FFFF0000"/>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rgb="FF92D050"/>
        </patternFill>
      </fill>
    </dxf>
    <dxf>
      <fill>
        <patternFill>
          <bgColor rgb="FFFFC000"/>
        </patternFill>
      </fill>
    </dxf>
    <dxf>
      <fill>
        <patternFill>
          <bgColor rgb="FFC00000"/>
        </patternFill>
      </fill>
    </dxf>
    <dxf>
      <fill>
        <patternFill>
          <bgColor rgb="FFFF0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C00000"/>
        </patternFill>
      </fill>
    </dxf>
    <dxf>
      <fill>
        <patternFill>
          <bgColor rgb="FF00B050"/>
        </patternFill>
      </fill>
    </dxf>
    <dxf>
      <fill>
        <patternFill>
          <bgColor rgb="FF92D050"/>
        </patternFill>
      </fill>
    </dxf>
    <dxf>
      <fill>
        <patternFill>
          <bgColor rgb="FF92D050"/>
        </patternFill>
      </fill>
    </dxf>
    <dxf>
      <fill>
        <patternFill>
          <bgColor rgb="FFFFC000"/>
        </patternFill>
      </fill>
    </dxf>
    <dxf>
      <fill>
        <patternFill>
          <bgColor rgb="FFC00000"/>
        </patternFill>
      </fill>
    </dxf>
    <dxf>
      <fill>
        <patternFill>
          <bgColor rgb="FFFF0000"/>
        </patternFill>
      </fill>
    </dxf>
    <dxf>
      <fill>
        <patternFill>
          <bgColor rgb="FF00B05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C0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00B050"/>
        </patternFill>
      </fill>
    </dxf>
    <dxf>
      <fill>
        <patternFill>
          <bgColor rgb="FFFFC000"/>
        </patternFill>
      </fill>
    </dxf>
    <dxf>
      <fill>
        <patternFill>
          <bgColor rgb="FF92D050"/>
        </patternFill>
      </fill>
    </dxf>
    <dxf>
      <fill>
        <patternFill>
          <bgColor rgb="FFC00000"/>
        </patternFill>
      </fill>
    </dxf>
  </dxfs>
  <tableStyles count="0" defaultTableStyle="TableStyleMedium2" defaultPivotStyle="PivotStyleLight16"/>
  <colors>
    <mruColors>
      <color rgb="FFFFFF00"/>
      <color rgb="FFFFFF99"/>
      <color rgb="FF33B8FB"/>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1079500</xdr:colOff>
      <xdr:row>3</xdr:row>
      <xdr:rowOff>152400</xdr:rowOff>
    </xdr:to>
    <xdr:pic>
      <xdr:nvPicPr>
        <xdr:cNvPr id="3" name="Imagen 2" descr="Inicio - Sociedad Tequendama Sociedad Tequendama">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92400" cy="2019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414979</xdr:colOff>
      <xdr:row>0</xdr:row>
      <xdr:rowOff>35278</xdr:rowOff>
    </xdr:from>
    <xdr:to>
      <xdr:col>0</xdr:col>
      <xdr:colOff>1508590</xdr:colOff>
      <xdr:row>3</xdr:row>
      <xdr:rowOff>98719</xdr:rowOff>
    </xdr:to>
    <xdr:pic>
      <xdr:nvPicPr>
        <xdr:cNvPr id="2" name="Imagen 1" descr="Inicio - Sociedad Tequendama Sociedad Tequendama">
          <a:extLst>
            <a:ext uri="{FF2B5EF4-FFF2-40B4-BE49-F238E27FC236}">
              <a16:creationId xmlns:a16="http://schemas.microsoft.com/office/drawing/2014/main" id="{1B0176BA-F735-4997-A969-73F3999238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4979" y="35278"/>
          <a:ext cx="1093611" cy="8154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1324428</xdr:colOff>
      <xdr:row>6</xdr:row>
      <xdr:rowOff>54428</xdr:rowOff>
    </xdr:from>
    <xdr:to>
      <xdr:col>0</xdr:col>
      <xdr:colOff>7522413</xdr:colOff>
      <xdr:row>6</xdr:row>
      <xdr:rowOff>2659950</xdr:rowOff>
    </xdr:to>
    <xdr:pic>
      <xdr:nvPicPr>
        <xdr:cNvPr id="2" name="Imagen 1">
          <a:extLst>
            <a:ext uri="{FF2B5EF4-FFF2-40B4-BE49-F238E27FC236}">
              <a16:creationId xmlns:a16="http://schemas.microsoft.com/office/drawing/2014/main" id="{3CBA313B-D9CB-4E38-A11F-95CE2D038A32}"/>
            </a:ext>
          </a:extLst>
        </xdr:cNvPr>
        <xdr:cNvPicPr>
          <a:picLocks noChangeAspect="1"/>
        </xdr:cNvPicPr>
      </xdr:nvPicPr>
      <xdr:blipFill>
        <a:blip xmlns:r="http://schemas.openxmlformats.org/officeDocument/2006/relationships" r:embed="rId1"/>
        <a:stretch>
          <a:fillRect/>
        </a:stretch>
      </xdr:blipFill>
      <xdr:spPr>
        <a:xfrm>
          <a:off x="1324428" y="5633357"/>
          <a:ext cx="6197985" cy="2605522"/>
        </a:xfrm>
        <a:prstGeom prst="rect">
          <a:avLst/>
        </a:prstGeom>
      </xdr:spPr>
    </xdr:pic>
    <xdr:clientData/>
  </xdr:twoCellAnchor>
  <xdr:twoCellAnchor editAs="oneCell">
    <xdr:from>
      <xdr:col>0</xdr:col>
      <xdr:colOff>1260928</xdr:colOff>
      <xdr:row>7</xdr:row>
      <xdr:rowOff>18143</xdr:rowOff>
    </xdr:from>
    <xdr:to>
      <xdr:col>0</xdr:col>
      <xdr:colOff>7531100</xdr:colOff>
      <xdr:row>7</xdr:row>
      <xdr:rowOff>1364096</xdr:rowOff>
    </xdr:to>
    <xdr:pic>
      <xdr:nvPicPr>
        <xdr:cNvPr id="4" name="Imagen 3">
          <a:extLst>
            <a:ext uri="{FF2B5EF4-FFF2-40B4-BE49-F238E27FC236}">
              <a16:creationId xmlns:a16="http://schemas.microsoft.com/office/drawing/2014/main" id="{AF3441AB-426E-48C1-9BF8-58FCCCF30A48}"/>
            </a:ext>
          </a:extLst>
        </xdr:cNvPr>
        <xdr:cNvPicPr>
          <a:picLocks noChangeAspect="1"/>
        </xdr:cNvPicPr>
      </xdr:nvPicPr>
      <xdr:blipFill>
        <a:blip xmlns:r="http://schemas.openxmlformats.org/officeDocument/2006/relationships" r:embed="rId2"/>
        <a:stretch>
          <a:fillRect/>
        </a:stretch>
      </xdr:blipFill>
      <xdr:spPr>
        <a:xfrm>
          <a:off x="1260928" y="8450943"/>
          <a:ext cx="6270172" cy="1345953"/>
        </a:xfrm>
        <a:prstGeom prst="rect">
          <a:avLst/>
        </a:prstGeom>
      </xdr:spPr>
    </xdr:pic>
    <xdr:clientData/>
  </xdr:twoCellAnchor>
  <xdr:twoCellAnchor editAs="oneCell">
    <xdr:from>
      <xdr:col>0</xdr:col>
      <xdr:colOff>1422400</xdr:colOff>
      <xdr:row>8</xdr:row>
      <xdr:rowOff>546100</xdr:rowOff>
    </xdr:from>
    <xdr:to>
      <xdr:col>0</xdr:col>
      <xdr:colOff>6375400</xdr:colOff>
      <xdr:row>8</xdr:row>
      <xdr:rowOff>5068108</xdr:rowOff>
    </xdr:to>
    <xdr:pic>
      <xdr:nvPicPr>
        <xdr:cNvPr id="5" name="Imagen 4">
          <a:extLst>
            <a:ext uri="{FF2B5EF4-FFF2-40B4-BE49-F238E27FC236}">
              <a16:creationId xmlns:a16="http://schemas.microsoft.com/office/drawing/2014/main" id="{9781000A-ECC1-470C-A1E4-D1620A20ED13}"/>
            </a:ext>
          </a:extLst>
        </xdr:cNvPr>
        <xdr:cNvPicPr>
          <a:picLocks noChangeAspect="1"/>
        </xdr:cNvPicPr>
      </xdr:nvPicPr>
      <xdr:blipFill>
        <a:blip xmlns:r="http://schemas.openxmlformats.org/officeDocument/2006/relationships" r:embed="rId3"/>
        <a:stretch>
          <a:fillRect/>
        </a:stretch>
      </xdr:blipFill>
      <xdr:spPr>
        <a:xfrm>
          <a:off x="1422400" y="10426700"/>
          <a:ext cx="4953000" cy="4522008"/>
        </a:xfrm>
        <a:prstGeom prst="rect">
          <a:avLst/>
        </a:prstGeom>
      </xdr:spPr>
    </xdr:pic>
    <xdr:clientData/>
  </xdr:twoCellAnchor>
  <xdr:twoCellAnchor editAs="oneCell">
    <xdr:from>
      <xdr:col>0</xdr:col>
      <xdr:colOff>1371600</xdr:colOff>
      <xdr:row>12</xdr:row>
      <xdr:rowOff>101600</xdr:rowOff>
    </xdr:from>
    <xdr:to>
      <xdr:col>0</xdr:col>
      <xdr:colOff>6686823</xdr:colOff>
      <xdr:row>12</xdr:row>
      <xdr:rowOff>3137056</xdr:rowOff>
    </xdr:to>
    <xdr:pic>
      <xdr:nvPicPr>
        <xdr:cNvPr id="6" name="Imagen 5">
          <a:extLst>
            <a:ext uri="{FF2B5EF4-FFF2-40B4-BE49-F238E27FC236}">
              <a16:creationId xmlns:a16="http://schemas.microsoft.com/office/drawing/2014/main" id="{E489E248-80F9-44D7-A898-72A0D6D3EC15}"/>
            </a:ext>
          </a:extLst>
        </xdr:cNvPr>
        <xdr:cNvPicPr>
          <a:picLocks noChangeAspect="1"/>
        </xdr:cNvPicPr>
      </xdr:nvPicPr>
      <xdr:blipFill>
        <a:blip xmlns:r="http://schemas.openxmlformats.org/officeDocument/2006/relationships" r:embed="rId4"/>
        <a:stretch>
          <a:fillRect/>
        </a:stretch>
      </xdr:blipFill>
      <xdr:spPr>
        <a:xfrm>
          <a:off x="1371600" y="17386300"/>
          <a:ext cx="5315223" cy="3035456"/>
        </a:xfrm>
        <a:prstGeom prst="rect">
          <a:avLst/>
        </a:prstGeom>
      </xdr:spPr>
    </xdr:pic>
    <xdr:clientData/>
  </xdr:twoCellAnchor>
  <xdr:twoCellAnchor editAs="oneCell">
    <xdr:from>
      <xdr:col>0</xdr:col>
      <xdr:colOff>1587500</xdr:colOff>
      <xdr:row>16</xdr:row>
      <xdr:rowOff>355600</xdr:rowOff>
    </xdr:from>
    <xdr:to>
      <xdr:col>0</xdr:col>
      <xdr:colOff>8807821</xdr:colOff>
      <xdr:row>16</xdr:row>
      <xdr:rowOff>4000687</xdr:rowOff>
    </xdr:to>
    <xdr:pic>
      <xdr:nvPicPr>
        <xdr:cNvPr id="7" name="Imagen 6">
          <a:extLst>
            <a:ext uri="{FF2B5EF4-FFF2-40B4-BE49-F238E27FC236}">
              <a16:creationId xmlns:a16="http://schemas.microsoft.com/office/drawing/2014/main" id="{DE02C30A-6B6A-460D-B47B-67215E5E8892}"/>
            </a:ext>
          </a:extLst>
        </xdr:cNvPr>
        <xdr:cNvPicPr>
          <a:picLocks noChangeAspect="1"/>
        </xdr:cNvPicPr>
      </xdr:nvPicPr>
      <xdr:blipFill>
        <a:blip xmlns:r="http://schemas.openxmlformats.org/officeDocument/2006/relationships" r:embed="rId5"/>
        <a:stretch>
          <a:fillRect/>
        </a:stretch>
      </xdr:blipFill>
      <xdr:spPr>
        <a:xfrm>
          <a:off x="1587500" y="26492200"/>
          <a:ext cx="7220321" cy="3645087"/>
        </a:xfrm>
        <a:prstGeom prst="rect">
          <a:avLst/>
        </a:prstGeom>
      </xdr:spPr>
    </xdr:pic>
    <xdr:clientData/>
  </xdr:twoCellAnchor>
  <xdr:twoCellAnchor editAs="oneCell">
    <xdr:from>
      <xdr:col>0</xdr:col>
      <xdr:colOff>2273300</xdr:colOff>
      <xdr:row>18</xdr:row>
      <xdr:rowOff>317500</xdr:rowOff>
    </xdr:from>
    <xdr:to>
      <xdr:col>0</xdr:col>
      <xdr:colOff>8366896</xdr:colOff>
      <xdr:row>18</xdr:row>
      <xdr:rowOff>1739900</xdr:rowOff>
    </xdr:to>
    <xdr:pic>
      <xdr:nvPicPr>
        <xdr:cNvPr id="8" name="Imagen 7">
          <a:extLst>
            <a:ext uri="{FF2B5EF4-FFF2-40B4-BE49-F238E27FC236}">
              <a16:creationId xmlns:a16="http://schemas.microsoft.com/office/drawing/2014/main" id="{26B4DD57-3C07-13EA-03AF-08F61322EE9F}"/>
            </a:ext>
          </a:extLst>
        </xdr:cNvPr>
        <xdr:cNvPicPr>
          <a:picLocks noChangeAspect="1"/>
        </xdr:cNvPicPr>
      </xdr:nvPicPr>
      <xdr:blipFill>
        <a:blip xmlns:r="http://schemas.openxmlformats.org/officeDocument/2006/relationships" r:embed="rId6"/>
        <a:stretch>
          <a:fillRect/>
        </a:stretch>
      </xdr:blipFill>
      <xdr:spPr>
        <a:xfrm>
          <a:off x="2273300" y="30518100"/>
          <a:ext cx="6093596" cy="1422400"/>
        </a:xfrm>
        <a:prstGeom prst="rect">
          <a:avLst/>
        </a:prstGeom>
      </xdr:spPr>
    </xdr:pic>
    <xdr:clientData/>
  </xdr:twoCellAnchor>
  <xdr:twoCellAnchor editAs="oneCell">
    <xdr:from>
      <xdr:col>0</xdr:col>
      <xdr:colOff>1993900</xdr:colOff>
      <xdr:row>19</xdr:row>
      <xdr:rowOff>317500</xdr:rowOff>
    </xdr:from>
    <xdr:to>
      <xdr:col>0</xdr:col>
      <xdr:colOff>8172768</xdr:colOff>
      <xdr:row>19</xdr:row>
      <xdr:rowOff>4661123</xdr:rowOff>
    </xdr:to>
    <xdr:pic>
      <xdr:nvPicPr>
        <xdr:cNvPr id="9" name="Imagen 8">
          <a:extLst>
            <a:ext uri="{FF2B5EF4-FFF2-40B4-BE49-F238E27FC236}">
              <a16:creationId xmlns:a16="http://schemas.microsoft.com/office/drawing/2014/main" id="{8784023C-EE51-4E81-BF8C-22ECC97222EB}"/>
            </a:ext>
          </a:extLst>
        </xdr:cNvPr>
        <xdr:cNvPicPr>
          <a:picLocks noChangeAspect="1"/>
        </xdr:cNvPicPr>
      </xdr:nvPicPr>
      <xdr:blipFill>
        <a:blip xmlns:r="http://schemas.openxmlformats.org/officeDocument/2006/relationships" r:embed="rId7"/>
        <a:stretch>
          <a:fillRect/>
        </a:stretch>
      </xdr:blipFill>
      <xdr:spPr>
        <a:xfrm>
          <a:off x="1993900" y="32359600"/>
          <a:ext cx="6178868" cy="43436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pato/Downloads/Matr&#237;z%20de%20Riesgos%20Anticorrupci&#243;n%20V2%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RIESGOS ANTICORRUPCIÓN"/>
      <sheetName val="EVALUACIÓN DEL RIESGO"/>
      <sheetName val="EVALUACIÓN DEL CONTROL"/>
      <sheetName val="TABLA DE PROBABILIDADES"/>
    </sheetNames>
    <sheetDataSet>
      <sheetData sheetId="0">
        <row r="3">
          <cell r="AA3">
            <v>1</v>
          </cell>
          <cell r="AB3" t="str">
            <v>RARA VEZ</v>
          </cell>
          <cell r="AC3">
            <v>5</v>
          </cell>
          <cell r="AD3" t="str">
            <v>MODERADO</v>
          </cell>
        </row>
        <row r="4">
          <cell r="AA4">
            <v>2</v>
          </cell>
          <cell r="AB4" t="str">
            <v>IMPROBABLE</v>
          </cell>
          <cell r="AC4">
            <v>10</v>
          </cell>
          <cell r="AD4" t="str">
            <v>MAYOR</v>
          </cell>
        </row>
        <row r="5">
          <cell r="AA5">
            <v>3</v>
          </cell>
          <cell r="AB5" t="str">
            <v>POSIBLE</v>
          </cell>
          <cell r="AC5">
            <v>20</v>
          </cell>
          <cell r="AD5" t="str">
            <v>CATASTRÓFICO</v>
          </cell>
        </row>
        <row r="6">
          <cell r="AA6">
            <v>4</v>
          </cell>
          <cell r="AB6" t="str">
            <v>ES PROBABLE</v>
          </cell>
        </row>
        <row r="7">
          <cell r="AA7">
            <v>5</v>
          </cell>
          <cell r="AB7" t="str">
            <v>ES MUY SEGURO</v>
          </cell>
        </row>
      </sheetData>
      <sheetData sheetId="1"/>
      <sheetData sheetId="2"/>
      <sheetData sheetId="3"/>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Integral">
  <a:themeElements>
    <a:clrScheme name="Integral">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B9F25"/>
      </a:hlink>
      <a:folHlink>
        <a:srgbClr val="B26B02"/>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Integral">
      <a:fillStyleLst>
        <a:solidFill>
          <a:schemeClr val="phClr"/>
        </a:solidFill>
        <a:gradFill rotWithShape="1">
          <a:gsLst>
            <a:gs pos="0">
              <a:schemeClr val="phClr">
                <a:tint val="83000"/>
                <a:satMod val="100000"/>
                <a:lumMod val="100000"/>
              </a:schemeClr>
            </a:gs>
            <a:gs pos="100000">
              <a:schemeClr val="phClr">
                <a:tint val="61000"/>
                <a:satMod val="150000"/>
                <a:lumMod val="100000"/>
              </a:schemeClr>
            </a:gs>
          </a:gsLst>
          <a:path path="circle">
            <a:fillToRect l="100000" t="100000" r="100000" b="100000"/>
          </a:path>
        </a:gradFill>
        <a:gradFill rotWithShape="1">
          <a:gsLst>
            <a:gs pos="0">
              <a:schemeClr val="phClr">
                <a:tint val="100000"/>
                <a:shade val="85000"/>
                <a:satMod val="100000"/>
                <a:lumMod val="100000"/>
              </a:schemeClr>
            </a:gs>
            <a:gs pos="100000">
              <a:schemeClr val="phClr">
                <a:tint val="90000"/>
                <a:shade val="100000"/>
                <a:satMod val="150000"/>
                <a:lumMod val="100000"/>
              </a:schemeClr>
            </a:gs>
          </a:gsLst>
          <a:path path="circle">
            <a:fillToRect l="100000" t="100000" r="100000" b="100000"/>
          </a:path>
        </a:gradFill>
      </a:fillStyleLst>
      <a:lnStyleLst>
        <a:ln w="9525" cap="flat" cmpd="sng" algn="ctr">
          <a:solidFill>
            <a:schemeClr val="phClr"/>
          </a:solidFill>
          <a:prstDash val="solid"/>
        </a:ln>
        <a:ln w="15875"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outerShdw blurRad="50800" dist="12700" dir="5400000" algn="ctr" rotWithShape="0">
              <a:srgbClr val="000000">
                <a:alpha val="50000"/>
              </a:srgbClr>
            </a:outerShdw>
          </a:effectLst>
        </a:effectStyle>
        <a:effectStyle>
          <a:effectLst>
            <a:outerShdw blurRad="76200" dist="25400" dir="5400000" algn="ctr" rotWithShape="0">
              <a:srgbClr val="000000">
                <a:alpha val="60000"/>
              </a:srgbClr>
            </a:outerShdw>
          </a:effectLst>
          <a:scene3d>
            <a:camera prst="orthographicFront">
              <a:rot lat="0" lon="0" rev="0"/>
            </a:camera>
            <a:lightRig rig="flat" dir="t">
              <a:rot lat="0" lon="0" rev="3600000"/>
            </a:lightRig>
          </a:scene3d>
          <a:sp3d contourW="12700" prstMaterial="flat">
            <a:bevelT w="38100" h="44450" prst="angle"/>
            <a:contourClr>
              <a:schemeClr val="phClr">
                <a:shade val="35000"/>
                <a:satMod val="160000"/>
              </a:schemeClr>
            </a:contourClr>
          </a:sp3d>
        </a:effectStyle>
      </a:effectStyleLst>
      <a:bgFillStyleLst>
        <a:solidFill>
          <a:schemeClr val="phClr"/>
        </a:solidFill>
        <a:solidFill>
          <a:schemeClr val="phClr">
            <a:tint val="95000"/>
            <a:shade val="85000"/>
            <a:satMod val="125000"/>
          </a:schemeClr>
        </a:solidFill>
        <a:blipFill rotWithShape="1">
          <a:blip xmlns:r="http://schemas.openxmlformats.org/officeDocument/2006/relationships" r:embed="rId1">
            <a:duotone>
              <a:schemeClr val="phClr">
                <a:tint val="95000"/>
                <a:shade val="74000"/>
                <a:satMod val="230000"/>
              </a:schemeClr>
              <a:schemeClr val="phClr">
                <a:tint val="92000"/>
                <a:shade val="69000"/>
                <a:satMod val="250000"/>
              </a:schemeClr>
            </a:duotone>
          </a:blip>
          <a:tile tx="0" ty="0" sx="40000" sy="40000" flip="none" algn="tl"/>
        </a:blipFill>
      </a:bgFillStyleLst>
    </a:fmtScheme>
  </a:themeElements>
  <a:objectDefaults/>
  <a:extraClrSchemeLst/>
  <a:extLst>
    <a:ext uri="{05A4C25C-085E-4340-85A3-A5531E510DB2}">
      <thm15:themeFamily xmlns:thm15="http://schemas.microsoft.com/office/thememl/2012/main" name="Integral" id="{3577F8C9-A904-41D8-97D2-FD898F53F20E}" vid="{682D6EBE-8D36-4FF2-9DB3-F3D8D7B6715D}"/>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AX9"/>
  <sheetViews>
    <sheetView showGridLines="0" topLeftCell="Q1" zoomScale="50" zoomScaleNormal="50" workbookViewId="0">
      <selection activeCell="F6" sqref="F6:K6"/>
    </sheetView>
  </sheetViews>
  <sheetFormatPr baseColWidth="10" defaultColWidth="18.4140625" defaultRowHeight="48.5" customHeight="1" x14ac:dyDescent="0.35"/>
  <cols>
    <col min="1" max="1" width="21.08203125" style="16" customWidth="1"/>
    <col min="2" max="2" width="22.4140625" style="17" customWidth="1"/>
    <col min="3" max="3" width="22.25" style="17" customWidth="1"/>
    <col min="4" max="4" width="18.4140625" style="17"/>
    <col min="5" max="5" width="25.08203125" style="17" customWidth="1"/>
    <col min="6" max="6" width="18.4140625" style="19"/>
    <col min="7" max="7" width="18.4140625" style="19" customWidth="1"/>
    <col min="8" max="9" width="18.4140625" style="19"/>
    <col min="10" max="10" width="14.4140625" style="19" customWidth="1"/>
    <col min="11" max="11" width="18.4140625" style="18"/>
    <col min="12" max="12" width="28.9140625" style="18" customWidth="1"/>
    <col min="13" max="15" width="18.4140625" style="18"/>
    <col min="16" max="16" width="17" style="18" customWidth="1"/>
    <col min="17" max="17" width="5" style="18" customWidth="1"/>
    <col min="18" max="18" width="16.75" style="18" customWidth="1"/>
    <col min="19" max="19" width="11.75" style="18" customWidth="1"/>
    <col min="20" max="21" width="9.83203125" style="18" customWidth="1"/>
    <col min="22" max="22" width="8.6640625" style="18" customWidth="1"/>
    <col min="23" max="23" width="10.9140625" style="18" customWidth="1"/>
    <col min="24" max="24" width="10.83203125" style="18" customWidth="1"/>
    <col min="25" max="26" width="12.33203125" style="18" customWidth="1"/>
    <col min="27" max="27" width="10.33203125" style="18" customWidth="1"/>
    <col min="28" max="28" width="9.33203125" style="18" customWidth="1"/>
    <col min="29" max="29" width="10.75" style="18" customWidth="1"/>
    <col min="30" max="30" width="7.9140625" style="18" customWidth="1"/>
    <col min="31" max="31" width="10.58203125" style="18" customWidth="1"/>
    <col min="32" max="41" width="18.4140625" style="18"/>
    <col min="42" max="45" width="18.4140625" style="15" customWidth="1"/>
    <col min="46" max="47" width="18.4140625" style="15"/>
    <col min="48" max="48" width="25.5" style="15" customWidth="1"/>
    <col min="49" max="16384" width="18.4140625" style="15"/>
  </cols>
  <sheetData>
    <row r="1" spans="1:50" ht="48.5" customHeight="1" x14ac:dyDescent="0.35">
      <c r="A1" s="147" t="s">
        <v>239</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9"/>
      <c r="AN1" s="147" t="s">
        <v>332</v>
      </c>
      <c r="AO1" s="149"/>
    </row>
    <row r="2" spans="1:50" ht="48.5" customHeight="1" x14ac:dyDescent="0.35">
      <c r="A2" s="147" t="s">
        <v>264</v>
      </c>
      <c r="B2" s="148"/>
      <c r="C2" s="148"/>
      <c r="D2" s="148"/>
      <c r="E2" s="148"/>
      <c r="F2" s="148"/>
      <c r="G2" s="148"/>
      <c r="H2" s="148"/>
      <c r="I2" s="148"/>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9"/>
      <c r="AN2" s="147" t="s">
        <v>333</v>
      </c>
      <c r="AO2" s="149"/>
      <c r="AT2" t="s">
        <v>233</v>
      </c>
      <c r="AU2" t="s">
        <v>21</v>
      </c>
    </row>
    <row r="3" spans="1:50" ht="48.5" customHeight="1" thickBot="1" x14ac:dyDescent="0.4">
      <c r="A3" s="150" t="s">
        <v>235</v>
      </c>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2"/>
      <c r="AN3" s="150" t="s">
        <v>334</v>
      </c>
      <c r="AO3" s="152"/>
      <c r="AT3" t="s">
        <v>227</v>
      </c>
      <c r="AU3" t="s">
        <v>22</v>
      </c>
      <c r="AV3" s="15" t="s">
        <v>3</v>
      </c>
      <c r="AW3" s="15" t="s">
        <v>253</v>
      </c>
      <c r="AX3" s="15" t="s">
        <v>169</v>
      </c>
    </row>
    <row r="4" spans="1:50" ht="48.5" customHeight="1" thickBot="1" x14ac:dyDescent="0.4">
      <c r="A4" s="153" t="s">
        <v>43</v>
      </c>
      <c r="B4" s="154"/>
      <c r="C4" s="154"/>
      <c r="D4" s="154"/>
      <c r="E4" s="155"/>
      <c r="F4" s="172" t="s">
        <v>242</v>
      </c>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5"/>
      <c r="AL4" s="176" t="s">
        <v>249</v>
      </c>
      <c r="AM4" s="177"/>
      <c r="AN4" s="177"/>
      <c r="AO4" s="178"/>
      <c r="AT4" t="s">
        <v>224</v>
      </c>
      <c r="AU4" t="s">
        <v>2</v>
      </c>
      <c r="AV4" s="15" t="s">
        <v>26</v>
      </c>
      <c r="AW4" s="15" t="s">
        <v>254</v>
      </c>
      <c r="AX4" s="15" t="s">
        <v>170</v>
      </c>
    </row>
    <row r="5" spans="1:50" ht="48.5" customHeight="1" thickBot="1" x14ac:dyDescent="0.4">
      <c r="A5" s="164" t="s">
        <v>240</v>
      </c>
      <c r="B5" s="158" t="s">
        <v>37</v>
      </c>
      <c r="C5" s="158" t="s">
        <v>241</v>
      </c>
      <c r="D5" s="156" t="s">
        <v>38</v>
      </c>
      <c r="E5" s="162" t="s">
        <v>8</v>
      </c>
      <c r="F5" s="166" t="s">
        <v>39</v>
      </c>
      <c r="G5" s="166"/>
      <c r="H5" s="166"/>
      <c r="I5" s="166"/>
      <c r="J5" s="166"/>
      <c r="K5" s="167"/>
      <c r="L5" s="172" t="s">
        <v>44</v>
      </c>
      <c r="M5" s="173"/>
      <c r="N5" s="173"/>
      <c r="O5" s="173"/>
      <c r="P5" s="174"/>
      <c r="Q5" s="174"/>
      <c r="R5" s="174"/>
      <c r="S5" s="174"/>
      <c r="T5" s="174"/>
      <c r="U5" s="174"/>
      <c r="V5" s="174"/>
      <c r="W5" s="174"/>
      <c r="X5" s="174"/>
      <c r="Y5" s="174"/>
      <c r="Z5" s="174"/>
      <c r="AA5" s="174"/>
      <c r="AB5" s="174"/>
      <c r="AC5" s="174"/>
      <c r="AD5" s="173"/>
      <c r="AE5" s="173"/>
      <c r="AF5" s="173"/>
      <c r="AG5" s="173"/>
      <c r="AH5" s="173"/>
      <c r="AI5" s="173"/>
      <c r="AJ5" s="173"/>
      <c r="AK5" s="175"/>
      <c r="AL5" s="164"/>
      <c r="AM5" s="158"/>
      <c r="AN5" s="158"/>
      <c r="AO5" s="162"/>
      <c r="AT5" t="s">
        <v>221</v>
      </c>
      <c r="AV5" s="15" t="s">
        <v>252</v>
      </c>
    </row>
    <row r="6" spans="1:50" ht="48.5" customHeight="1" x14ac:dyDescent="0.35">
      <c r="A6" s="164"/>
      <c r="B6" s="158"/>
      <c r="C6" s="158"/>
      <c r="D6" s="156"/>
      <c r="E6" s="162"/>
      <c r="F6" s="160" t="s">
        <v>40</v>
      </c>
      <c r="G6" s="160"/>
      <c r="H6" s="160"/>
      <c r="I6" s="160"/>
      <c r="J6" s="160"/>
      <c r="K6" s="161"/>
      <c r="L6" s="168" t="s">
        <v>243</v>
      </c>
      <c r="M6" s="170" t="s">
        <v>245</v>
      </c>
      <c r="N6" s="171"/>
      <c r="O6" s="171"/>
      <c r="P6" s="176" t="s">
        <v>255</v>
      </c>
      <c r="Q6" s="177"/>
      <c r="R6" s="177"/>
      <c r="S6" s="177"/>
      <c r="T6" s="177"/>
      <c r="U6" s="177"/>
      <c r="V6" s="177"/>
      <c r="W6" s="177"/>
      <c r="X6" s="177"/>
      <c r="Y6" s="177"/>
      <c r="Z6" s="177"/>
      <c r="AA6" s="177"/>
      <c r="AB6" s="177"/>
      <c r="AC6" s="178"/>
      <c r="AD6" s="179" t="s">
        <v>244</v>
      </c>
      <c r="AE6" s="179"/>
      <c r="AF6" s="179"/>
      <c r="AG6" s="179"/>
      <c r="AH6" s="179"/>
      <c r="AI6" s="179"/>
      <c r="AJ6" s="179"/>
      <c r="AK6" s="180"/>
      <c r="AL6" s="164" t="s">
        <v>250</v>
      </c>
      <c r="AM6" s="158" t="s">
        <v>247</v>
      </c>
      <c r="AN6" s="158" t="s">
        <v>251</v>
      </c>
      <c r="AO6" s="162" t="s">
        <v>42</v>
      </c>
      <c r="AT6" t="s">
        <v>234</v>
      </c>
    </row>
    <row r="7" spans="1:50" ht="83.5" customHeight="1" thickBot="1" x14ac:dyDescent="0.4">
      <c r="A7" s="165"/>
      <c r="B7" s="159"/>
      <c r="C7" s="159"/>
      <c r="D7" s="157"/>
      <c r="E7" s="163"/>
      <c r="F7" s="53" t="s">
        <v>9</v>
      </c>
      <c r="G7" s="50" t="s">
        <v>236</v>
      </c>
      <c r="H7" s="51" t="s">
        <v>10</v>
      </c>
      <c r="I7" s="51" t="s">
        <v>236</v>
      </c>
      <c r="J7" s="51" t="s">
        <v>238</v>
      </c>
      <c r="K7" s="52" t="s">
        <v>41</v>
      </c>
      <c r="L7" s="169"/>
      <c r="M7" s="51" t="s">
        <v>246</v>
      </c>
      <c r="N7" s="51" t="s">
        <v>247</v>
      </c>
      <c r="O7" s="50" t="s">
        <v>248</v>
      </c>
      <c r="P7" s="185" t="s">
        <v>256</v>
      </c>
      <c r="Q7" s="184"/>
      <c r="R7" s="181" t="s">
        <v>257</v>
      </c>
      <c r="S7" s="184"/>
      <c r="T7" s="181" t="s">
        <v>258</v>
      </c>
      <c r="U7" s="184"/>
      <c r="V7" s="181" t="s">
        <v>259</v>
      </c>
      <c r="W7" s="184"/>
      <c r="X7" s="181" t="s">
        <v>260</v>
      </c>
      <c r="Y7" s="184"/>
      <c r="Z7" s="181" t="s">
        <v>261</v>
      </c>
      <c r="AA7" s="184"/>
      <c r="AB7" s="181" t="s">
        <v>262</v>
      </c>
      <c r="AC7" s="182"/>
      <c r="AD7" s="183" t="s">
        <v>263</v>
      </c>
      <c r="AE7" s="159"/>
      <c r="AF7" s="50" t="s">
        <v>9</v>
      </c>
      <c r="AG7" s="50" t="s">
        <v>236</v>
      </c>
      <c r="AH7" s="51" t="s">
        <v>10</v>
      </c>
      <c r="AI7" s="51" t="s">
        <v>236</v>
      </c>
      <c r="AJ7" s="51" t="s">
        <v>238</v>
      </c>
      <c r="AK7" s="52" t="s">
        <v>41</v>
      </c>
      <c r="AL7" s="165"/>
      <c r="AM7" s="159"/>
      <c r="AN7" s="159"/>
      <c r="AO7" s="163"/>
    </row>
    <row r="8" spans="1:50" ht="48.5" customHeight="1" x14ac:dyDescent="0.65">
      <c r="A8" s="54"/>
      <c r="B8" s="54"/>
      <c r="C8" s="54"/>
      <c r="D8" s="54"/>
      <c r="E8" s="54"/>
      <c r="F8" s="48" t="s">
        <v>221</v>
      </c>
      <c r="G8" s="49">
        <f>IF(F8=$AT$2,5,(IF(F8=$AT$3,4,IF(F8=$AT$4,3,(IF(F8=$AT$5,2,1))))))</f>
        <v>2</v>
      </c>
      <c r="H8" s="49" t="s">
        <v>22</v>
      </c>
      <c r="I8" s="49">
        <f>IF(H8=$AU$2,20,(IF(H8=$AU$3,10,5)))</f>
        <v>10</v>
      </c>
      <c r="J8" s="49">
        <f>+G8*I8</f>
        <v>20</v>
      </c>
      <c r="K8" s="49" t="str">
        <f>IF(J8&lt;=0,"",IF(J8&lt;=10,"Baja",IF(J8&lt;=25,"Moderada",IF(J8&lt;=50,"Alta",IF(J8&lt;=100,"Extrema","Extrema")))))</f>
        <v>Moderada</v>
      </c>
      <c r="L8" s="47"/>
      <c r="M8" s="47"/>
      <c r="N8" s="47"/>
      <c r="O8" s="47"/>
      <c r="P8" s="47" t="s">
        <v>169</v>
      </c>
      <c r="Q8" s="47">
        <f>IF(P8=$AX$3,15,(IF(P8=$AU$3,0,0)))</f>
        <v>15</v>
      </c>
      <c r="R8" s="47" t="s">
        <v>169</v>
      </c>
      <c r="S8" s="47">
        <f>IF(R8=$AX$3,5,(IF(R8=$AU$3,0,0)))</f>
        <v>5</v>
      </c>
      <c r="T8" s="47" t="s">
        <v>169</v>
      </c>
      <c r="U8" s="47">
        <f>IF(T8=$AX$3,15,(IF(T8=$AU$3,0,0)))</f>
        <v>15</v>
      </c>
      <c r="V8" s="47" t="s">
        <v>169</v>
      </c>
      <c r="W8" s="47">
        <f>IF(V8=$AX$3,10,(IF(V8=$AU$3,0,0)))</f>
        <v>10</v>
      </c>
      <c r="X8" s="47" t="s">
        <v>170</v>
      </c>
      <c r="Y8" s="47">
        <f>IF(X8=$AX$3,15,(IF(X8=$AU$3,0,0)))</f>
        <v>0</v>
      </c>
      <c r="Z8" s="47" t="s">
        <v>169</v>
      </c>
      <c r="AA8" s="47">
        <f>IF(Z8=$AX$3,10,(IF(Z8=$AU$3,0,0)))</f>
        <v>10</v>
      </c>
      <c r="AB8" s="47" t="s">
        <v>169</v>
      </c>
      <c r="AC8" s="47">
        <f>IF(AB8=$AX$3,30,(IF(AB8=$AU$3,0,0)))</f>
        <v>30</v>
      </c>
      <c r="AD8" s="47">
        <f>+Q8+S8+U8+W8+Y8+AA8+AC8</f>
        <v>85</v>
      </c>
      <c r="AE8" s="55" t="str">
        <f>IF(AD8&lt;=50,"0",IF(AD8&lt;=75,"1",IF(AD8&lt;=100,"2","")))</f>
        <v>2</v>
      </c>
      <c r="AF8" s="48" t="s">
        <v>234</v>
      </c>
      <c r="AG8" s="49">
        <f>IF(AF8=$AT$2,5,(IF(AF8=$AT$3,4,IF(AF8=$AT$4,3,(IF(AF8=$AT$5,2,1))))))</f>
        <v>1</v>
      </c>
      <c r="AH8" s="49" t="s">
        <v>2</v>
      </c>
      <c r="AI8" s="49">
        <f>IF(AH8=$AU$2,20,(IF(AH8=$AU$3,10,5)))</f>
        <v>5</v>
      </c>
      <c r="AJ8" s="49">
        <f>+AG8*AI8</f>
        <v>5</v>
      </c>
      <c r="AK8" s="49" t="str">
        <f>IF(AJ8&lt;=0,"",IF(AJ8&lt;=10,"Baja",IF(AJ8&lt;=25,"Moderada",IF(AJ8&lt;=50,"Alta",IF(AJ8&lt;=100,"Extrema","Extrema")))))</f>
        <v>Baja</v>
      </c>
      <c r="AL8" s="47"/>
      <c r="AM8" s="47"/>
      <c r="AN8" s="47"/>
      <c r="AO8" s="47"/>
      <c r="AT8" s="43"/>
    </row>
    <row r="9" spans="1:50" ht="48.5" customHeight="1" x14ac:dyDescent="0.35">
      <c r="A9" s="44"/>
      <c r="B9" s="44"/>
      <c r="C9" s="44"/>
      <c r="D9" s="44"/>
      <c r="E9" s="44"/>
      <c r="F9" s="45"/>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row>
  </sheetData>
  <mergeCells count="33">
    <mergeCell ref="T7:U7"/>
    <mergeCell ref="V7:W7"/>
    <mergeCell ref="X7:Y7"/>
    <mergeCell ref="Z7:AA7"/>
    <mergeCell ref="P7:Q7"/>
    <mergeCell ref="L6:L7"/>
    <mergeCell ref="M6:O6"/>
    <mergeCell ref="L5:AK5"/>
    <mergeCell ref="A1:AM1"/>
    <mergeCell ref="AN1:AO1"/>
    <mergeCell ref="F4:AK4"/>
    <mergeCell ref="AL4:AO5"/>
    <mergeCell ref="AD6:AK6"/>
    <mergeCell ref="AL6:AL7"/>
    <mergeCell ref="AM6:AM7"/>
    <mergeCell ref="AN6:AN7"/>
    <mergeCell ref="AO6:AO7"/>
    <mergeCell ref="AB7:AC7"/>
    <mergeCell ref="P6:AC6"/>
    <mergeCell ref="AD7:AE7"/>
    <mergeCell ref="R7:S7"/>
    <mergeCell ref="D5:D7"/>
    <mergeCell ref="C5:C7"/>
    <mergeCell ref="F6:K6"/>
    <mergeCell ref="E5:E7"/>
    <mergeCell ref="A5:A7"/>
    <mergeCell ref="B5:B7"/>
    <mergeCell ref="F5:K5"/>
    <mergeCell ref="A2:AM2"/>
    <mergeCell ref="AN2:AO2"/>
    <mergeCell ref="A3:AM3"/>
    <mergeCell ref="AN3:AO3"/>
    <mergeCell ref="A4:E4"/>
  </mergeCells>
  <conditionalFormatting sqref="F8:F9">
    <cfRule type="containsText" dxfId="84" priority="23" operator="containsText" text="Probable">
      <formula>NOT(ISERROR(SEARCH("Probable",F8)))</formula>
    </cfRule>
    <cfRule type="containsText" dxfId="83" priority="26" operator="containsText" text="Rara vez">
      <formula>NOT(ISERROR(SEARCH("Rara vez",F8)))</formula>
    </cfRule>
    <cfRule type="containsText" dxfId="82" priority="24" operator="containsText" text="Posible">
      <formula>NOT(ISERROR(SEARCH("Posible",F8)))</formula>
    </cfRule>
    <cfRule type="containsText" dxfId="81" priority="21" operator="containsText" text="Improbable">
      <formula>NOT(ISERROR(SEARCH("Improbable",F8)))</formula>
    </cfRule>
    <cfRule type="containsText" dxfId="80" priority="22" operator="containsText" text="Casi seguro">
      <formula>NOT(ISERROR(SEARCH("Casi seguro",F8)))</formula>
    </cfRule>
  </conditionalFormatting>
  <conditionalFormatting sqref="G8:G9">
    <cfRule type="containsText" dxfId="79" priority="34" operator="containsText" text="1">
      <formula>NOT(ISERROR(SEARCH("1",G8)))</formula>
    </cfRule>
    <cfRule type="containsText" dxfId="78" priority="33" operator="containsText" text="2">
      <formula>NOT(ISERROR(SEARCH("2",G8)))</formula>
    </cfRule>
    <cfRule type="containsText" dxfId="77" priority="32" operator="containsText" text="3">
      <formula>NOT(ISERROR(SEARCH("3",G8)))</formula>
    </cfRule>
    <cfRule type="containsText" dxfId="76" priority="31" operator="containsText" text="4">
      <formula>NOT(ISERROR(SEARCH("4",G8)))</formula>
    </cfRule>
    <cfRule type="containsText" dxfId="75" priority="30" operator="containsText" text="5">
      <formula>NOT(ISERROR(SEARCH("5",G8)))</formula>
    </cfRule>
  </conditionalFormatting>
  <conditionalFormatting sqref="H8:H9">
    <cfRule type="containsText" dxfId="74" priority="27" operator="containsText" text="Catastrófico">
      <formula>NOT(ISERROR(SEARCH("Catastrófico",H8)))</formula>
    </cfRule>
    <cfRule type="containsText" dxfId="73" priority="29" operator="containsText" text="Mayor">
      <formula>NOT(ISERROR(SEARCH("Mayor",H8)))</formula>
    </cfRule>
    <cfRule type="containsText" dxfId="72" priority="28" operator="containsText" text="Moderado">
      <formula>NOT(ISERROR(SEARCH("Moderado",H8)))</formula>
    </cfRule>
  </conditionalFormatting>
  <conditionalFormatting sqref="I8:I9">
    <cfRule type="containsText" dxfId="71" priority="44" operator="containsText" text="5">
      <formula>NOT(ISERROR(SEARCH("5",I8)))</formula>
    </cfRule>
    <cfRule type="containsText" dxfId="70" priority="43" operator="containsText" text="20">
      <formula>NOT(ISERROR(SEARCH("20",I8)))</formula>
    </cfRule>
    <cfRule type="containsText" dxfId="69" priority="45" operator="containsText" text="10">
      <formula>NOT(ISERROR(SEARCH("10",I8)))</formula>
    </cfRule>
  </conditionalFormatting>
  <conditionalFormatting sqref="J8:J9">
    <cfRule type="cellIs" dxfId="68" priority="37" operator="between">
      <formula>15</formula>
      <formula>25</formula>
    </cfRule>
    <cfRule type="cellIs" dxfId="67" priority="38" operator="between">
      <formula>5</formula>
      <formula>10</formula>
    </cfRule>
    <cfRule type="cellIs" dxfId="66" priority="35" operator="between">
      <formula>60</formula>
      <formula>100</formula>
    </cfRule>
    <cfRule type="cellIs" dxfId="65" priority="36" operator="between">
      <formula>30</formula>
      <formula>50</formula>
    </cfRule>
  </conditionalFormatting>
  <conditionalFormatting sqref="K8:AE8 AK8:AO8 K9:AO9">
    <cfRule type="containsText" dxfId="64" priority="39" operator="containsText" text="Extrema">
      <formula>NOT(ISERROR(SEARCH("Extrema",K8)))</formula>
    </cfRule>
    <cfRule type="containsText" dxfId="63" priority="41" operator="containsText" text="Moderada">
      <formula>NOT(ISERROR(SEARCH("Moderada",K8)))</formula>
    </cfRule>
    <cfRule type="containsText" dxfId="62" priority="42" operator="containsText" text="Baja">
      <formula>NOT(ISERROR(SEARCH("Baja",K8)))</formula>
    </cfRule>
    <cfRule type="containsText" dxfId="61" priority="40" operator="containsText" text="Alta">
      <formula>NOT(ISERROR(SEARCH("Alta",K8)))</formula>
    </cfRule>
  </conditionalFormatting>
  <conditionalFormatting sqref="AF8">
    <cfRule type="containsText" dxfId="60" priority="1" operator="containsText" text="Improbable">
      <formula>NOT(ISERROR(SEARCH("Improbable",AF8)))</formula>
    </cfRule>
    <cfRule type="containsText" dxfId="59" priority="2" operator="containsText" text="Casi seguro">
      <formula>NOT(ISERROR(SEARCH("Casi seguro",AF8)))</formula>
    </cfRule>
    <cfRule type="containsText" dxfId="58" priority="3" operator="containsText" text="Probable">
      <formula>NOT(ISERROR(SEARCH("Probable",AF8)))</formula>
    </cfRule>
    <cfRule type="containsText" dxfId="57" priority="4" operator="containsText" text="Posible">
      <formula>NOT(ISERROR(SEARCH("Posible",AF8)))</formula>
    </cfRule>
    <cfRule type="containsText" dxfId="56" priority="5" operator="containsText" text="Rara vez">
      <formula>NOT(ISERROR(SEARCH("Rara vez",AF8)))</formula>
    </cfRule>
  </conditionalFormatting>
  <conditionalFormatting sqref="AG8">
    <cfRule type="containsText" dxfId="55" priority="13" operator="containsText" text="1">
      <formula>NOT(ISERROR(SEARCH("1",AG8)))</formula>
    </cfRule>
    <cfRule type="containsText" dxfId="54" priority="12" operator="containsText" text="2">
      <formula>NOT(ISERROR(SEARCH("2",AG8)))</formula>
    </cfRule>
    <cfRule type="containsText" dxfId="53" priority="10" operator="containsText" text="4">
      <formula>NOT(ISERROR(SEARCH("4",AG8)))</formula>
    </cfRule>
    <cfRule type="containsText" dxfId="52" priority="11" operator="containsText" text="3">
      <formula>NOT(ISERROR(SEARCH("3",AG8)))</formula>
    </cfRule>
    <cfRule type="containsText" dxfId="51" priority="9" operator="containsText" text="5">
      <formula>NOT(ISERROR(SEARCH("5",AG8)))</formula>
    </cfRule>
  </conditionalFormatting>
  <conditionalFormatting sqref="AH8">
    <cfRule type="containsText" dxfId="50" priority="7" operator="containsText" text="Moderado">
      <formula>NOT(ISERROR(SEARCH("Moderado",AH8)))</formula>
    </cfRule>
    <cfRule type="containsText" dxfId="49" priority="6" operator="containsText" text="Catastrófico">
      <formula>NOT(ISERROR(SEARCH("Catastrófico",AH8)))</formula>
    </cfRule>
    <cfRule type="containsText" dxfId="48" priority="8" operator="containsText" text="Mayor">
      <formula>NOT(ISERROR(SEARCH("Mayor",AH8)))</formula>
    </cfRule>
  </conditionalFormatting>
  <conditionalFormatting sqref="AI8">
    <cfRule type="containsText" dxfId="47" priority="18" operator="containsText" text="20">
      <formula>NOT(ISERROR(SEARCH("20",AI8)))</formula>
    </cfRule>
    <cfRule type="containsText" dxfId="46" priority="20" operator="containsText" text="10">
      <formula>NOT(ISERROR(SEARCH("10",AI8)))</formula>
    </cfRule>
    <cfRule type="containsText" dxfId="45" priority="19" operator="containsText" text="5">
      <formula>NOT(ISERROR(SEARCH("5",AI8)))</formula>
    </cfRule>
  </conditionalFormatting>
  <conditionalFormatting sqref="AJ8">
    <cfRule type="cellIs" dxfId="44" priority="16" operator="between">
      <formula>15</formula>
      <formula>25</formula>
    </cfRule>
    <cfRule type="cellIs" dxfId="43" priority="15" operator="between">
      <formula>30</formula>
      <formula>50</formula>
    </cfRule>
    <cfRule type="cellIs" dxfId="42" priority="14" operator="between">
      <formula>60</formula>
      <formula>100</formula>
    </cfRule>
    <cfRule type="cellIs" dxfId="41" priority="17" operator="between">
      <formula>5</formula>
      <formula>10</formula>
    </cfRule>
  </conditionalFormatting>
  <dataValidations count="1">
    <dataValidation type="list" allowBlank="1" showInputMessage="1" showErrorMessage="1" sqref="P8 AB8 R8 T8 V8 X8 Z8" xr:uid="{2973D385-10FD-4B80-B77F-4E9A7731A32D}">
      <formula1>$AX$3:$AX$4</formula1>
    </dataValidation>
  </dataValidations>
  <pageMargins left="0.7" right="0.7" top="0.75" bottom="0.75" header="0.3" footer="0.3"/>
  <pageSetup orientation="portrait" horizontalDpi="4294967294" verticalDpi="4294967294"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'Mapa Inherente RC'!$D$12:$F$12</xm:f>
          </x14:formula1>
          <xm:sqref>H8:H9 AH8</xm:sqref>
        </x14:dataValidation>
        <x14:dataValidation type="list" allowBlank="1" showInputMessage="1" showErrorMessage="1" xr:uid="{00000000-0002-0000-0000-000001000000}">
          <x14:formula1>
            <xm:f>'Mapa Inherente RC'!$B$6:$B$10</xm:f>
          </x14:formula1>
          <xm:sqref>F8:F9 AF8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3:H14"/>
  <sheetViews>
    <sheetView topLeftCell="A7" zoomScale="90" zoomScaleNormal="90" workbookViewId="0">
      <selection activeCell="D6" sqref="D6"/>
    </sheetView>
  </sheetViews>
  <sheetFormatPr baseColWidth="10" defaultColWidth="11.33203125" defaultRowHeight="13.5" x14ac:dyDescent="0.25"/>
  <cols>
    <col min="1" max="1" width="8.5" style="1" customWidth="1"/>
    <col min="2" max="2" width="14.58203125" style="1" customWidth="1"/>
    <col min="3" max="3" width="17.83203125" style="1" customWidth="1"/>
    <col min="4" max="6" width="21.83203125" style="1" customWidth="1"/>
    <col min="7" max="8" width="17.83203125" style="1" customWidth="1"/>
    <col min="9" max="16384" width="11.33203125" style="1"/>
  </cols>
  <sheetData>
    <row r="3" spans="2:8" ht="19.5" x14ac:dyDescent="0.35">
      <c r="D3" s="269"/>
      <c r="E3" s="269"/>
      <c r="F3" s="269"/>
    </row>
    <row r="4" spans="2:8" ht="50.15" customHeight="1" x14ac:dyDescent="0.35">
      <c r="D4" s="269" t="s">
        <v>35</v>
      </c>
      <c r="E4" s="269"/>
      <c r="F4" s="269"/>
    </row>
    <row r="5" spans="2:8" ht="20.25" customHeight="1" x14ac:dyDescent="0.25"/>
    <row r="6" spans="2:8" ht="57" customHeight="1" x14ac:dyDescent="0.25">
      <c r="C6" s="9" t="s">
        <v>48</v>
      </c>
      <c r="D6" s="12"/>
      <c r="E6" s="12"/>
      <c r="F6" s="12"/>
      <c r="H6" s="7" t="s">
        <v>27</v>
      </c>
    </row>
    <row r="7" spans="2:8" ht="57" customHeight="1" x14ac:dyDescent="0.25">
      <c r="C7" s="9" t="s">
        <v>49</v>
      </c>
      <c r="D7" s="13"/>
      <c r="E7" s="13"/>
      <c r="F7" s="12"/>
      <c r="H7" s="2" t="s">
        <v>1</v>
      </c>
    </row>
    <row r="8" spans="2:8" ht="57" customHeight="1" x14ac:dyDescent="0.25">
      <c r="B8" s="6" t="s">
        <v>33</v>
      </c>
      <c r="C8" s="9" t="s">
        <v>50</v>
      </c>
      <c r="D8" s="13"/>
      <c r="E8" s="13"/>
      <c r="F8" s="12"/>
      <c r="H8" s="3" t="s">
        <v>2</v>
      </c>
    </row>
    <row r="9" spans="2:8" ht="57" customHeight="1" x14ac:dyDescent="0.25">
      <c r="C9" s="9" t="s">
        <v>51</v>
      </c>
      <c r="D9" s="14"/>
      <c r="E9" s="13"/>
      <c r="F9" s="12"/>
      <c r="H9" s="4" t="s">
        <v>0</v>
      </c>
    </row>
    <row r="10" spans="2:8" ht="57" customHeight="1" x14ac:dyDescent="0.25">
      <c r="C10" s="9" t="s">
        <v>132</v>
      </c>
      <c r="D10" s="14"/>
      <c r="E10" s="13"/>
      <c r="F10" s="12"/>
    </row>
    <row r="11" spans="2:8" ht="18" customHeight="1" x14ac:dyDescent="0.25">
      <c r="D11" s="5">
        <v>3</v>
      </c>
      <c r="E11" s="5">
        <v>4</v>
      </c>
      <c r="F11" s="5">
        <v>5</v>
      </c>
    </row>
    <row r="12" spans="2:8" x14ac:dyDescent="0.25">
      <c r="D12" s="5" t="s">
        <v>2</v>
      </c>
      <c r="E12" s="5" t="s">
        <v>22</v>
      </c>
      <c r="F12" s="5" t="s">
        <v>21</v>
      </c>
    </row>
    <row r="13" spans="2:8" x14ac:dyDescent="0.25">
      <c r="D13" s="5"/>
      <c r="E13" s="5"/>
      <c r="F13" s="5"/>
    </row>
    <row r="14" spans="2:8" ht="14" x14ac:dyDescent="0.3">
      <c r="D14" s="270"/>
      <c r="E14" s="270"/>
      <c r="F14" s="270"/>
    </row>
  </sheetData>
  <mergeCells count="3">
    <mergeCell ref="D3:F3"/>
    <mergeCell ref="D4:F4"/>
    <mergeCell ref="D14:F14"/>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44"/>
  <sheetViews>
    <sheetView topLeftCell="A2" zoomScaleNormal="100" workbookViewId="0">
      <selection activeCell="E31" sqref="E31"/>
    </sheetView>
  </sheetViews>
  <sheetFormatPr baseColWidth="10" defaultColWidth="18.83203125" defaultRowHeight="13.5" x14ac:dyDescent="0.25"/>
  <cols>
    <col min="1" max="1" width="20" style="8" customWidth="1"/>
    <col min="2" max="3" width="18.83203125" style="8"/>
    <col min="4" max="4" width="30.83203125" style="8" customWidth="1"/>
    <col min="5" max="5" width="96.58203125" style="8" customWidth="1"/>
    <col min="6" max="16384" width="18.83203125" style="8"/>
  </cols>
  <sheetData>
    <row r="1" spans="1:15" x14ac:dyDescent="0.25">
      <c r="G1" s="271" t="s">
        <v>52</v>
      </c>
      <c r="I1" s="271" t="s">
        <v>53</v>
      </c>
    </row>
    <row r="2" spans="1:15" ht="28" x14ac:dyDescent="0.3">
      <c r="A2" s="10" t="s">
        <v>11</v>
      </c>
      <c r="B2" s="10" t="s">
        <v>15</v>
      </c>
      <c r="C2" s="10" t="s">
        <v>18</v>
      </c>
      <c r="D2" s="10" t="s">
        <v>81</v>
      </c>
      <c r="E2" s="10" t="s">
        <v>54</v>
      </c>
      <c r="F2" s="10" t="s">
        <v>19</v>
      </c>
      <c r="G2" s="271"/>
      <c r="H2" s="10" t="s">
        <v>20</v>
      </c>
      <c r="I2" s="271"/>
      <c r="J2" s="10" t="s">
        <v>23</v>
      </c>
      <c r="K2" s="10" t="s">
        <v>25</v>
      </c>
      <c r="L2" s="10" t="s">
        <v>9</v>
      </c>
      <c r="M2" s="10" t="s">
        <v>10</v>
      </c>
      <c r="N2" s="10" t="s">
        <v>28</v>
      </c>
      <c r="O2" s="10" t="s">
        <v>30</v>
      </c>
    </row>
    <row r="3" spans="1:15" ht="27" x14ac:dyDescent="0.25">
      <c r="A3" s="8" t="s">
        <v>6</v>
      </c>
      <c r="B3" s="8" t="s">
        <v>16</v>
      </c>
      <c r="C3" s="8" t="s">
        <v>76</v>
      </c>
      <c r="D3" s="8" t="s">
        <v>82</v>
      </c>
      <c r="E3" s="8" t="s">
        <v>131</v>
      </c>
      <c r="F3" s="8" t="s">
        <v>55</v>
      </c>
      <c r="G3" s="11">
        <v>5</v>
      </c>
      <c r="H3" s="8" t="s">
        <v>56</v>
      </c>
      <c r="I3" s="11">
        <v>5</v>
      </c>
      <c r="J3" s="8" t="s">
        <v>24</v>
      </c>
      <c r="K3" s="8" t="s">
        <v>3</v>
      </c>
      <c r="L3" s="8" t="s">
        <v>62</v>
      </c>
      <c r="M3" s="8" t="s">
        <v>64</v>
      </c>
      <c r="N3" s="8" t="s">
        <v>29</v>
      </c>
      <c r="O3" s="8" t="s">
        <v>5</v>
      </c>
    </row>
    <row r="4" spans="1:15" ht="27" x14ac:dyDescent="0.25">
      <c r="A4" s="8" t="s">
        <v>69</v>
      </c>
      <c r="B4" s="8" t="s">
        <v>72</v>
      </c>
      <c r="C4" s="8" t="s">
        <v>75</v>
      </c>
      <c r="D4" s="8" t="s">
        <v>83</v>
      </c>
      <c r="E4" s="8" t="s">
        <v>90</v>
      </c>
      <c r="F4" s="8" t="s">
        <v>57</v>
      </c>
      <c r="G4" s="11">
        <v>4</v>
      </c>
      <c r="H4" s="8" t="s">
        <v>46</v>
      </c>
      <c r="I4" s="11">
        <v>4</v>
      </c>
      <c r="J4" s="8" t="s">
        <v>1</v>
      </c>
      <c r="K4" s="8" t="s">
        <v>26</v>
      </c>
      <c r="L4" s="8" t="s">
        <v>63</v>
      </c>
      <c r="M4" s="8" t="s">
        <v>65</v>
      </c>
      <c r="N4" s="8" t="s">
        <v>67</v>
      </c>
      <c r="O4" s="8" t="s">
        <v>4</v>
      </c>
    </row>
    <row r="5" spans="1:15" ht="27" x14ac:dyDescent="0.25">
      <c r="A5" s="8" t="s">
        <v>7</v>
      </c>
      <c r="B5" s="8" t="s">
        <v>73</v>
      </c>
      <c r="C5" s="8" t="s">
        <v>77</v>
      </c>
      <c r="D5" s="8" t="s">
        <v>84</v>
      </c>
      <c r="E5" s="8" t="s">
        <v>91</v>
      </c>
      <c r="F5" s="8" t="s">
        <v>45</v>
      </c>
      <c r="G5" s="11">
        <v>3</v>
      </c>
      <c r="H5" s="8" t="s">
        <v>58</v>
      </c>
      <c r="I5" s="11">
        <v>3</v>
      </c>
      <c r="J5" s="8" t="s">
        <v>2</v>
      </c>
      <c r="L5" s="8" t="s">
        <v>66</v>
      </c>
      <c r="M5" s="8" t="s">
        <v>66</v>
      </c>
      <c r="N5" s="8" t="s">
        <v>31</v>
      </c>
    </row>
    <row r="6" spans="1:15" ht="27" x14ac:dyDescent="0.25">
      <c r="A6" s="8" t="s">
        <v>13</v>
      </c>
      <c r="B6" s="8" t="s">
        <v>14</v>
      </c>
      <c r="C6" s="8" t="s">
        <v>79</v>
      </c>
      <c r="D6" s="8" t="s">
        <v>85</v>
      </c>
      <c r="E6" s="8" t="s">
        <v>92</v>
      </c>
      <c r="F6" s="8" t="s">
        <v>47</v>
      </c>
      <c r="G6" s="11">
        <v>2</v>
      </c>
      <c r="H6" s="8" t="s">
        <v>59</v>
      </c>
      <c r="I6" s="11">
        <v>2</v>
      </c>
      <c r="J6" s="8" t="s">
        <v>0</v>
      </c>
      <c r="N6" s="8" t="s">
        <v>68</v>
      </c>
    </row>
    <row r="7" spans="1:15" ht="27" x14ac:dyDescent="0.25">
      <c r="A7" s="8" t="s">
        <v>14</v>
      </c>
      <c r="B7" s="8" t="s">
        <v>17</v>
      </c>
      <c r="C7" s="8" t="s">
        <v>78</v>
      </c>
      <c r="D7" s="8" t="s">
        <v>86</v>
      </c>
      <c r="E7" s="8" t="s">
        <v>93</v>
      </c>
      <c r="F7" s="8" t="s">
        <v>89</v>
      </c>
      <c r="G7" s="11">
        <v>1</v>
      </c>
      <c r="H7" s="8" t="s">
        <v>60</v>
      </c>
      <c r="I7" s="11">
        <v>1</v>
      </c>
    </row>
    <row r="8" spans="1:15" ht="27" x14ac:dyDescent="0.25">
      <c r="A8" s="8" t="s">
        <v>12</v>
      </c>
      <c r="B8" s="8" t="s">
        <v>74</v>
      </c>
      <c r="C8" s="8" t="s">
        <v>80</v>
      </c>
      <c r="D8" s="8" t="s">
        <v>87</v>
      </c>
      <c r="E8" s="8" t="s">
        <v>94</v>
      </c>
    </row>
    <row r="9" spans="1:15" ht="27" x14ac:dyDescent="0.25">
      <c r="A9" s="8" t="s">
        <v>70</v>
      </c>
      <c r="B9" s="8" t="s">
        <v>32</v>
      </c>
      <c r="C9" s="8" t="s">
        <v>32</v>
      </c>
      <c r="D9" s="8" t="s">
        <v>88</v>
      </c>
      <c r="E9" s="8" t="s">
        <v>95</v>
      </c>
    </row>
    <row r="10" spans="1:15" ht="27" x14ac:dyDescent="0.25">
      <c r="A10" s="8" t="s">
        <v>36</v>
      </c>
      <c r="D10" s="8" t="s">
        <v>32</v>
      </c>
      <c r="E10" s="8" t="s">
        <v>99</v>
      </c>
    </row>
    <row r="11" spans="1:15" x14ac:dyDescent="0.25">
      <c r="A11" s="8" t="s">
        <v>71</v>
      </c>
      <c r="E11" s="8" t="s">
        <v>100</v>
      </c>
    </row>
    <row r="12" spans="1:15" x14ac:dyDescent="0.25">
      <c r="A12" s="8" t="s">
        <v>17</v>
      </c>
      <c r="E12" s="8" t="s">
        <v>101</v>
      </c>
    </row>
    <row r="13" spans="1:15" x14ac:dyDescent="0.25">
      <c r="E13" s="8" t="s">
        <v>102</v>
      </c>
    </row>
    <row r="14" spans="1:15" x14ac:dyDescent="0.25">
      <c r="A14" s="8" t="s">
        <v>61</v>
      </c>
      <c r="E14" s="8" t="s">
        <v>103</v>
      </c>
    </row>
    <row r="15" spans="1:15" x14ac:dyDescent="0.25">
      <c r="E15" s="8" t="s">
        <v>96</v>
      </c>
    </row>
    <row r="16" spans="1:15" x14ac:dyDescent="0.25">
      <c r="E16" s="8" t="s">
        <v>104</v>
      </c>
    </row>
    <row r="17" spans="5:5" x14ac:dyDescent="0.25">
      <c r="E17" s="8" t="s">
        <v>97</v>
      </c>
    </row>
    <row r="18" spans="5:5" x14ac:dyDescent="0.25">
      <c r="E18" s="8" t="s">
        <v>98</v>
      </c>
    </row>
    <row r="19" spans="5:5" x14ac:dyDescent="0.25">
      <c r="E19" s="8" t="s">
        <v>105</v>
      </c>
    </row>
    <row r="20" spans="5:5" x14ac:dyDescent="0.25">
      <c r="E20" s="8" t="s">
        <v>106</v>
      </c>
    </row>
    <row r="21" spans="5:5" x14ac:dyDescent="0.25">
      <c r="E21" s="8" t="s">
        <v>107</v>
      </c>
    </row>
    <row r="22" spans="5:5" x14ac:dyDescent="0.25">
      <c r="E22" s="8" t="s">
        <v>108</v>
      </c>
    </row>
    <row r="23" spans="5:5" x14ac:dyDescent="0.25">
      <c r="E23" s="8" t="s">
        <v>109</v>
      </c>
    </row>
    <row r="24" spans="5:5" x14ac:dyDescent="0.25">
      <c r="E24" s="8" t="s">
        <v>110</v>
      </c>
    </row>
    <row r="25" spans="5:5" x14ac:dyDescent="0.25">
      <c r="E25" s="8" t="s">
        <v>111</v>
      </c>
    </row>
    <row r="26" spans="5:5" x14ac:dyDescent="0.25">
      <c r="E26" s="8" t="s">
        <v>112</v>
      </c>
    </row>
    <row r="27" spans="5:5" x14ac:dyDescent="0.25">
      <c r="E27" s="8" t="s">
        <v>113</v>
      </c>
    </row>
    <row r="28" spans="5:5" x14ac:dyDescent="0.25">
      <c r="E28" s="8" t="s">
        <v>114</v>
      </c>
    </row>
    <row r="29" spans="5:5" x14ac:dyDescent="0.25">
      <c r="E29" s="8" t="s">
        <v>115</v>
      </c>
    </row>
    <row r="30" spans="5:5" ht="27" x14ac:dyDescent="0.25">
      <c r="E30" s="8" t="s">
        <v>116</v>
      </c>
    </row>
    <row r="31" spans="5:5" ht="27" x14ac:dyDescent="0.25">
      <c r="E31" s="8" t="s">
        <v>117</v>
      </c>
    </row>
    <row r="32" spans="5:5" ht="27" x14ac:dyDescent="0.25">
      <c r="E32" s="8" t="s">
        <v>118</v>
      </c>
    </row>
    <row r="33" spans="5:5" x14ac:dyDescent="0.25">
      <c r="E33" s="8" t="s">
        <v>119</v>
      </c>
    </row>
    <row r="34" spans="5:5" x14ac:dyDescent="0.25">
      <c r="E34" s="8" t="s">
        <v>120</v>
      </c>
    </row>
    <row r="35" spans="5:5" x14ac:dyDescent="0.25">
      <c r="E35" s="8" t="s">
        <v>121</v>
      </c>
    </row>
    <row r="36" spans="5:5" x14ac:dyDescent="0.25">
      <c r="E36" s="8" t="s">
        <v>122</v>
      </c>
    </row>
    <row r="37" spans="5:5" x14ac:dyDescent="0.25">
      <c r="E37" s="8" t="s">
        <v>123</v>
      </c>
    </row>
    <row r="38" spans="5:5" x14ac:dyDescent="0.25">
      <c r="E38" s="8" t="s">
        <v>124</v>
      </c>
    </row>
    <row r="39" spans="5:5" x14ac:dyDescent="0.25">
      <c r="E39" s="8" t="s">
        <v>125</v>
      </c>
    </row>
    <row r="40" spans="5:5" x14ac:dyDescent="0.25">
      <c r="E40" s="8" t="s">
        <v>126</v>
      </c>
    </row>
    <row r="41" spans="5:5" x14ac:dyDescent="0.25">
      <c r="E41" s="8" t="s">
        <v>127</v>
      </c>
    </row>
    <row r="42" spans="5:5" x14ac:dyDescent="0.25">
      <c r="E42" s="8" t="s">
        <v>128</v>
      </c>
    </row>
    <row r="43" spans="5:5" x14ac:dyDescent="0.25">
      <c r="E43" s="8" t="s">
        <v>129</v>
      </c>
    </row>
    <row r="44" spans="5:5" x14ac:dyDescent="0.25">
      <c r="E44" s="8" t="s">
        <v>130</v>
      </c>
    </row>
  </sheetData>
  <mergeCells count="2">
    <mergeCell ref="G1:G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74B36-110D-4112-B35B-4E1F5B467655}">
  <dimension ref="A1"/>
  <sheetViews>
    <sheetView workbookViewId="0">
      <selection activeCell="D12" sqref="D12"/>
    </sheetView>
  </sheetViews>
  <sheetFormatPr baseColWidth="10" defaultRowHeight="13.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5D6B6-EAA0-406F-A257-15A3B5BD9ED7}">
  <sheetPr>
    <tabColor rgb="FFC00000"/>
  </sheetPr>
  <dimension ref="A1:AZ29"/>
  <sheetViews>
    <sheetView tabSelected="1" zoomScale="59" zoomScaleNormal="59" workbookViewId="0">
      <pane xSplit="4" ySplit="8" topLeftCell="AO9" activePane="bottomRight" state="frozen"/>
      <selection pane="topRight" activeCell="E1" sqref="E1"/>
      <selection pane="bottomLeft" activeCell="A9" sqref="A9"/>
      <selection pane="bottomRight" activeCell="AQ10" sqref="AQ10"/>
    </sheetView>
  </sheetViews>
  <sheetFormatPr baseColWidth="10" defaultColWidth="18.4140625" defaultRowHeight="48.5" customHeight="1" x14ac:dyDescent="0.35"/>
  <cols>
    <col min="1" max="1" width="25.9140625" style="16" customWidth="1"/>
    <col min="2" max="2" width="26.58203125" style="17" customWidth="1"/>
    <col min="3" max="3" width="26.4140625" style="17" customWidth="1"/>
    <col min="4" max="4" width="29.75" style="17" customWidth="1"/>
    <col min="5" max="5" width="23.08203125" style="17" customWidth="1"/>
    <col min="6" max="6" width="18.4140625" style="19"/>
    <col min="7" max="7" width="25.08203125" style="19" bestFit="1" customWidth="1"/>
    <col min="8" max="9" width="18.4140625" style="19"/>
    <col min="10" max="10" width="14.4140625" style="19" customWidth="1"/>
    <col min="11" max="11" width="18.4140625" style="18"/>
    <col min="12" max="12" width="28.9140625" style="18" customWidth="1"/>
    <col min="13" max="13" width="18.4140625" style="18"/>
    <col min="14" max="14" width="31.75" style="18" customWidth="1"/>
    <col min="15" max="15" width="18.4140625" style="18"/>
    <col min="16" max="16" width="17" style="18" customWidth="1"/>
    <col min="17" max="17" width="5" style="18" customWidth="1"/>
    <col min="18" max="18" width="16.75" style="18" customWidth="1"/>
    <col min="19" max="19" width="11.75" style="18" customWidth="1"/>
    <col min="20" max="21" width="9.83203125" style="18" customWidth="1"/>
    <col min="22" max="22" width="8.6640625" style="18" customWidth="1"/>
    <col min="23" max="23" width="10.9140625" style="18" customWidth="1"/>
    <col min="24" max="24" width="10.83203125" style="18" customWidth="1"/>
    <col min="25" max="26" width="12.33203125" style="18" customWidth="1"/>
    <col min="27" max="27" width="10.33203125" style="18" customWidth="1"/>
    <col min="28" max="28" width="9.33203125" style="18" customWidth="1"/>
    <col min="29" max="29" width="10.75" style="18" customWidth="1"/>
    <col min="30" max="30" width="12.6640625" style="18" customWidth="1"/>
    <col min="31" max="31" width="10.58203125" style="18" customWidth="1"/>
    <col min="32" max="39" width="18.4140625" style="18"/>
    <col min="40" max="40" width="23.9140625" style="19" customWidth="1"/>
    <col min="41" max="41" width="30.25" style="18" customWidth="1"/>
    <col min="42" max="42" width="26.25" style="18" customWidth="1"/>
    <col min="43" max="43" width="31.75" style="18" customWidth="1"/>
    <col min="44" max="47" width="18.4140625" style="15" customWidth="1"/>
    <col min="48" max="49" width="18.4140625" style="15"/>
    <col min="50" max="50" width="25.5" style="15" customWidth="1"/>
    <col min="51" max="16384" width="18.4140625" style="15"/>
  </cols>
  <sheetData>
    <row r="1" spans="1:52" ht="19.5" x14ac:dyDescent="0.35">
      <c r="A1" s="156"/>
      <c r="B1" s="148" t="s">
        <v>239</v>
      </c>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c r="AO1" s="149"/>
      <c r="AP1" s="223" t="s">
        <v>439</v>
      </c>
      <c r="AQ1" s="224"/>
    </row>
    <row r="2" spans="1:52" ht="19.5" x14ac:dyDescent="0.35">
      <c r="A2" s="156"/>
      <c r="B2" s="148" t="s">
        <v>264</v>
      </c>
      <c r="C2" s="148"/>
      <c r="D2" s="148"/>
      <c r="E2" s="148"/>
      <c r="F2" s="148"/>
      <c r="G2" s="148"/>
      <c r="H2" s="148"/>
      <c r="I2" s="148"/>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9"/>
      <c r="AP2" s="223" t="s">
        <v>438</v>
      </c>
      <c r="AQ2" s="224"/>
      <c r="AV2" t="s">
        <v>233</v>
      </c>
      <c r="AW2" t="s">
        <v>21</v>
      </c>
    </row>
    <row r="3" spans="1:52" ht="20" thickBot="1" x14ac:dyDescent="0.4">
      <c r="A3" s="156"/>
      <c r="B3" s="151" t="s">
        <v>235</v>
      </c>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2"/>
      <c r="AP3" s="225" t="s">
        <v>440</v>
      </c>
      <c r="AQ3" s="226"/>
      <c r="AV3" t="s">
        <v>227</v>
      </c>
      <c r="AW3" t="s">
        <v>22</v>
      </c>
      <c r="AX3" s="15" t="s">
        <v>3</v>
      </c>
      <c r="AY3" s="15" t="s">
        <v>253</v>
      </c>
      <c r="AZ3" s="15" t="s">
        <v>169</v>
      </c>
    </row>
    <row r="4" spans="1:52" ht="20" thickBot="1" x14ac:dyDescent="0.4">
      <c r="A4" s="230" t="s">
        <v>43</v>
      </c>
      <c r="B4" s="154"/>
      <c r="C4" s="154"/>
      <c r="D4" s="154"/>
      <c r="E4" s="155"/>
      <c r="F4" s="172" t="s">
        <v>242</v>
      </c>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5"/>
      <c r="AL4" s="231"/>
      <c r="AM4" s="232"/>
      <c r="AN4" s="176" t="s">
        <v>249</v>
      </c>
      <c r="AO4" s="177"/>
      <c r="AP4" s="177"/>
      <c r="AQ4" s="178"/>
      <c r="AV4" t="s">
        <v>224</v>
      </c>
      <c r="AW4" t="s">
        <v>2</v>
      </c>
      <c r="AX4" s="15" t="s">
        <v>26</v>
      </c>
      <c r="AY4" s="15" t="s">
        <v>254</v>
      </c>
      <c r="AZ4" s="15" t="s">
        <v>170</v>
      </c>
    </row>
    <row r="5" spans="1:52" ht="20" thickBot="1" x14ac:dyDescent="0.4">
      <c r="A5" s="164" t="s">
        <v>240</v>
      </c>
      <c r="B5" s="158" t="s">
        <v>37</v>
      </c>
      <c r="C5" s="158" t="s">
        <v>241</v>
      </c>
      <c r="D5" s="156" t="s">
        <v>38</v>
      </c>
      <c r="E5" s="162" t="s">
        <v>8</v>
      </c>
      <c r="F5" s="166" t="s">
        <v>39</v>
      </c>
      <c r="G5" s="166"/>
      <c r="H5" s="166"/>
      <c r="I5" s="166"/>
      <c r="J5" s="166"/>
      <c r="K5" s="167"/>
      <c r="L5" s="172" t="s">
        <v>44</v>
      </c>
      <c r="M5" s="173"/>
      <c r="N5" s="173"/>
      <c r="O5" s="173"/>
      <c r="P5" s="174"/>
      <c r="Q5" s="174"/>
      <c r="R5" s="174"/>
      <c r="S5" s="174"/>
      <c r="T5" s="174"/>
      <c r="U5" s="174"/>
      <c r="V5" s="174"/>
      <c r="W5" s="174"/>
      <c r="X5" s="174"/>
      <c r="Y5" s="174"/>
      <c r="Z5" s="174"/>
      <c r="AA5" s="174"/>
      <c r="AB5" s="174"/>
      <c r="AC5" s="174"/>
      <c r="AD5" s="173"/>
      <c r="AE5" s="173"/>
      <c r="AF5" s="173"/>
      <c r="AG5" s="173"/>
      <c r="AH5" s="173"/>
      <c r="AI5" s="173"/>
      <c r="AJ5" s="173"/>
      <c r="AK5" s="175"/>
      <c r="AL5" s="233"/>
      <c r="AM5" s="234"/>
      <c r="AN5" s="164"/>
      <c r="AO5" s="158"/>
      <c r="AP5" s="158"/>
      <c r="AQ5" s="162"/>
      <c r="AV5" t="s">
        <v>221</v>
      </c>
      <c r="AX5" s="15" t="s">
        <v>252</v>
      </c>
    </row>
    <row r="6" spans="1:52" ht="19.5" x14ac:dyDescent="0.35">
      <c r="A6" s="164"/>
      <c r="B6" s="158"/>
      <c r="C6" s="158"/>
      <c r="D6" s="156"/>
      <c r="E6" s="162"/>
      <c r="F6" s="160" t="s">
        <v>40</v>
      </c>
      <c r="G6" s="160"/>
      <c r="H6" s="160"/>
      <c r="I6" s="160"/>
      <c r="J6" s="160"/>
      <c r="K6" s="161"/>
      <c r="L6" s="168" t="s">
        <v>243</v>
      </c>
      <c r="M6" s="170" t="s">
        <v>245</v>
      </c>
      <c r="N6" s="171"/>
      <c r="O6" s="171"/>
      <c r="P6" s="176" t="s">
        <v>255</v>
      </c>
      <c r="Q6" s="177"/>
      <c r="R6" s="177"/>
      <c r="S6" s="177"/>
      <c r="T6" s="177"/>
      <c r="U6" s="177"/>
      <c r="V6" s="177"/>
      <c r="W6" s="177"/>
      <c r="X6" s="177"/>
      <c r="Y6" s="177"/>
      <c r="Z6" s="177"/>
      <c r="AA6" s="177"/>
      <c r="AB6" s="177"/>
      <c r="AC6" s="178"/>
      <c r="AD6" s="179" t="s">
        <v>244</v>
      </c>
      <c r="AE6" s="179"/>
      <c r="AF6" s="179"/>
      <c r="AG6" s="179"/>
      <c r="AH6" s="179"/>
      <c r="AI6" s="179"/>
      <c r="AJ6" s="179"/>
      <c r="AK6" s="180"/>
      <c r="AL6" s="158" t="s">
        <v>251</v>
      </c>
      <c r="AM6" s="162" t="s">
        <v>42</v>
      </c>
      <c r="AN6" s="164" t="s">
        <v>250</v>
      </c>
      <c r="AO6" s="158" t="s">
        <v>247</v>
      </c>
      <c r="AP6" s="158" t="s">
        <v>444</v>
      </c>
      <c r="AQ6" s="162" t="s">
        <v>247</v>
      </c>
      <c r="AV6" t="s">
        <v>234</v>
      </c>
    </row>
    <row r="7" spans="1:52" ht="39.5" thickBot="1" x14ac:dyDescent="0.4">
      <c r="A7" s="165"/>
      <c r="B7" s="159"/>
      <c r="C7" s="159"/>
      <c r="D7" s="157"/>
      <c r="E7" s="163"/>
      <c r="F7" s="62" t="s">
        <v>9</v>
      </c>
      <c r="G7" s="63" t="s">
        <v>236</v>
      </c>
      <c r="H7" s="64" t="s">
        <v>10</v>
      </c>
      <c r="I7" s="64" t="s">
        <v>236</v>
      </c>
      <c r="J7" s="64" t="s">
        <v>238</v>
      </c>
      <c r="K7" s="65" t="s">
        <v>41</v>
      </c>
      <c r="L7" s="169"/>
      <c r="M7" s="51" t="s">
        <v>246</v>
      </c>
      <c r="N7" s="51" t="s">
        <v>247</v>
      </c>
      <c r="O7" s="50" t="s">
        <v>248</v>
      </c>
      <c r="P7" s="222" t="s">
        <v>256</v>
      </c>
      <c r="Q7" s="218"/>
      <c r="R7" s="217" t="s">
        <v>257</v>
      </c>
      <c r="S7" s="218"/>
      <c r="T7" s="217" t="s">
        <v>258</v>
      </c>
      <c r="U7" s="218"/>
      <c r="V7" s="217" t="s">
        <v>259</v>
      </c>
      <c r="W7" s="218"/>
      <c r="X7" s="217" t="s">
        <v>260</v>
      </c>
      <c r="Y7" s="218"/>
      <c r="Z7" s="217" t="s">
        <v>261</v>
      </c>
      <c r="AA7" s="218"/>
      <c r="AB7" s="217" t="s">
        <v>262</v>
      </c>
      <c r="AC7" s="219"/>
      <c r="AD7" s="220" t="s">
        <v>263</v>
      </c>
      <c r="AE7" s="221"/>
      <c r="AF7" s="63" t="s">
        <v>9</v>
      </c>
      <c r="AG7" s="63" t="s">
        <v>236</v>
      </c>
      <c r="AH7" s="64" t="s">
        <v>10</v>
      </c>
      <c r="AI7" s="64" t="s">
        <v>236</v>
      </c>
      <c r="AJ7" s="64" t="s">
        <v>238</v>
      </c>
      <c r="AK7" s="65" t="s">
        <v>41</v>
      </c>
      <c r="AL7" s="221"/>
      <c r="AM7" s="163"/>
      <c r="AN7" s="229"/>
      <c r="AO7" s="221"/>
      <c r="AP7" s="221"/>
      <c r="AQ7" s="163"/>
    </row>
    <row r="8" spans="1:52" ht="4" customHeight="1" x14ac:dyDescent="0.35">
      <c r="A8" s="88"/>
      <c r="B8" s="88"/>
      <c r="C8" s="88"/>
      <c r="D8" s="94"/>
      <c r="E8" s="88"/>
      <c r="F8" s="62"/>
      <c r="G8" s="63"/>
      <c r="H8" s="64"/>
      <c r="I8" s="64"/>
      <c r="J8" s="64"/>
      <c r="K8" s="63"/>
      <c r="L8" s="88"/>
      <c r="M8" s="88"/>
      <c r="N8" s="88"/>
      <c r="O8" s="88"/>
      <c r="P8" s="95"/>
      <c r="Q8" s="84"/>
      <c r="R8" s="85"/>
      <c r="S8" s="84"/>
      <c r="T8" s="85"/>
      <c r="U8" s="84"/>
      <c r="V8" s="85"/>
      <c r="W8" s="84"/>
      <c r="X8" s="85"/>
      <c r="Y8" s="84"/>
      <c r="Z8" s="85"/>
      <c r="AA8" s="84"/>
      <c r="AB8" s="85"/>
      <c r="AC8" s="95"/>
      <c r="AD8" s="86"/>
      <c r="AE8" s="64"/>
      <c r="AF8" s="63"/>
      <c r="AG8" s="63"/>
      <c r="AH8" s="64"/>
      <c r="AI8" s="64"/>
      <c r="AJ8" s="64"/>
      <c r="AK8" s="63"/>
      <c r="AL8" s="88"/>
      <c r="AM8" s="88"/>
      <c r="AN8" s="86"/>
      <c r="AO8" s="63"/>
      <c r="AP8" s="88"/>
      <c r="AQ8" s="88"/>
    </row>
    <row r="9" spans="1:52" ht="112" customHeight="1" x14ac:dyDescent="0.65">
      <c r="A9" s="194" t="s">
        <v>280</v>
      </c>
      <c r="B9" s="197" t="s">
        <v>281</v>
      </c>
      <c r="C9" s="197" t="s">
        <v>282</v>
      </c>
      <c r="D9" s="67" t="s">
        <v>366</v>
      </c>
      <c r="E9" s="68" t="s">
        <v>285</v>
      </c>
      <c r="F9" s="46" t="s">
        <v>227</v>
      </c>
      <c r="G9" s="46">
        <f>IF(F9=$AV2,5,(IF(F9=$AV$3,4,5)))</f>
        <v>4</v>
      </c>
      <c r="H9" s="46" t="s">
        <v>22</v>
      </c>
      <c r="I9" s="46">
        <f>IF(H9=$AW$2,20,(IF(H9=$AW$3,10,5)))</f>
        <v>10</v>
      </c>
      <c r="J9" s="46">
        <f>+G9*I9</f>
        <v>40</v>
      </c>
      <c r="K9" s="46" t="str">
        <f>IF(J9&lt;=0,"",IF(J9&lt;=10,"Baja",IF(J9&lt;=25,"Moderada",IF(J9&lt;=50,"Alta",IF(J9&lt;=100,"Extrema","Extrema")))))</f>
        <v>Alta</v>
      </c>
      <c r="L9" s="69" t="s">
        <v>288</v>
      </c>
      <c r="M9" s="67" t="s">
        <v>294</v>
      </c>
      <c r="N9" s="67" t="s">
        <v>295</v>
      </c>
      <c r="O9" s="70" t="s">
        <v>298</v>
      </c>
      <c r="P9" s="46" t="s">
        <v>169</v>
      </c>
      <c r="Q9" s="46">
        <f>IF(P9=$AZ$3,15,(IF(P9=$AW$3,0,0)))</f>
        <v>15</v>
      </c>
      <c r="R9" s="46" t="s">
        <v>169</v>
      </c>
      <c r="S9" s="46">
        <f>IF(R9=$AZ$3,5,(IF(R9=$AW$3,0,0)))</f>
        <v>5</v>
      </c>
      <c r="T9" s="46" t="s">
        <v>170</v>
      </c>
      <c r="U9" s="46">
        <f>IF(T9=$AZ$3,15,(IF(T9=$AW$3,0,0)))</f>
        <v>0</v>
      </c>
      <c r="V9" s="46" t="s">
        <v>169</v>
      </c>
      <c r="W9" s="46">
        <f>IF(V9=$AZ$3,10,(IF(V9=$AW$3,0,0)))</f>
        <v>10</v>
      </c>
      <c r="X9" s="46" t="s">
        <v>169</v>
      </c>
      <c r="Y9" s="46">
        <f>IF(X9=$AZ$3,15,(IF(X9=$AW$3,0,0)))</f>
        <v>15</v>
      </c>
      <c r="Z9" s="46" t="s">
        <v>169</v>
      </c>
      <c r="AA9" s="46">
        <f>IF(Z9=$AZ$3,10,(IF(Z9=$AW$3,0,0)))</f>
        <v>10</v>
      </c>
      <c r="AB9" s="46" t="s">
        <v>170</v>
      </c>
      <c r="AC9" s="46">
        <f>IF(AB9=$AZ$3,30,(IF(AB9=$AW$3,0,0)))</f>
        <v>0</v>
      </c>
      <c r="AD9" s="46">
        <f>+Q9+S9+U9+W9+Y9+AA9+AC9</f>
        <v>55</v>
      </c>
      <c r="AE9" s="46" t="str">
        <f>IF(AD9&lt;=50,"0",IF(AD9&lt;=75,"1",IF(AD9&lt;=100,"2","")))</f>
        <v>1</v>
      </c>
      <c r="AF9" s="46" t="s">
        <v>234</v>
      </c>
      <c r="AG9" s="46">
        <f>IF(AF9=$AV$2,5,(IF(AF9=$AV$3,4,IF(AF9=$AV$4,3,(IF(AF9=$AV$5,2,1))))))</f>
        <v>1</v>
      </c>
      <c r="AH9" s="46" t="s">
        <v>2</v>
      </c>
      <c r="AI9" s="78">
        <v>5</v>
      </c>
      <c r="AJ9" s="78">
        <f>+AG9*AI9</f>
        <v>5</v>
      </c>
      <c r="AK9" s="46" t="str">
        <f>IF(AJ9&lt;=0,"",IF(AJ9&lt;=10,"Baja",IF(AJ9&lt;=25,"Moderada",IF(AJ9&lt;=50,"Alta",IF(AJ9&lt;=100,"Extrema","Extrema")))))</f>
        <v>Baja</v>
      </c>
      <c r="AL9" s="67" t="s">
        <v>338</v>
      </c>
      <c r="AM9" s="67" t="s">
        <v>339</v>
      </c>
      <c r="AN9" s="93">
        <v>45560</v>
      </c>
      <c r="AO9" s="199"/>
      <c r="AP9" s="145"/>
      <c r="AQ9" s="67"/>
      <c r="AV9" s="43"/>
    </row>
    <row r="10" spans="1:52" ht="103.5" customHeight="1" x14ac:dyDescent="0.35">
      <c r="A10" s="195"/>
      <c r="B10" s="195"/>
      <c r="C10" s="196"/>
      <c r="D10" s="67" t="s">
        <v>347</v>
      </c>
      <c r="E10" s="68" t="s">
        <v>286</v>
      </c>
      <c r="F10" s="46" t="s">
        <v>227</v>
      </c>
      <c r="G10" s="46" cm="1">
        <f t="array" ref="G10">IF(F10=$AV$2:$AV2,5,(IF(F10=$AV$3,4,5)))</f>
        <v>4</v>
      </c>
      <c r="H10" s="46" t="s">
        <v>22</v>
      </c>
      <c r="I10" s="46">
        <f>IF(H10=$AW$2,20,(IF(H10=$AW$3,10,5)))</f>
        <v>10</v>
      </c>
      <c r="J10" s="46">
        <f>+G10*I10</f>
        <v>40</v>
      </c>
      <c r="K10" s="46" t="str">
        <f>IF(J10&lt;=0,"",IF(J10&lt;=10,"Baja",IF(J10&lt;=25,"Moderada",IF(J10&lt;=50,"Alta",IF(J10&lt;=100,"Extrema","Extrema")))))</f>
        <v>Alta</v>
      </c>
      <c r="L10" s="69" t="s">
        <v>289</v>
      </c>
      <c r="M10" s="67" t="s">
        <v>293</v>
      </c>
      <c r="N10" s="67" t="s">
        <v>296</v>
      </c>
      <c r="O10" s="70" t="s">
        <v>299</v>
      </c>
      <c r="P10" s="46" t="s">
        <v>169</v>
      </c>
      <c r="Q10" s="46">
        <f>IF(P10=$AZ$3,15,(IF(P10=$AW$3,0,0)))</f>
        <v>15</v>
      </c>
      <c r="R10" s="46" t="s">
        <v>169</v>
      </c>
      <c r="S10" s="46">
        <f>IF(R10=$AZ$3,5,(IF(R10=$AW$3,0,0)))</f>
        <v>5</v>
      </c>
      <c r="T10" s="46" t="s">
        <v>170</v>
      </c>
      <c r="U10" s="46">
        <f>IF(T10=$AZ$3,15,(IF(T10=$AW$3,0,0)))</f>
        <v>0</v>
      </c>
      <c r="V10" s="46" t="s">
        <v>169</v>
      </c>
      <c r="W10" s="46">
        <f>IF(V10=$AZ$3,10,(IF(V10=$AW$3,0,0)))</f>
        <v>10</v>
      </c>
      <c r="X10" s="46" t="s">
        <v>169</v>
      </c>
      <c r="Y10" s="46">
        <f>IF(X10=$AZ$3,15,(IF(X10=$AW$3,0,0)))</f>
        <v>15</v>
      </c>
      <c r="Z10" s="46" t="s">
        <v>169</v>
      </c>
      <c r="AA10" s="46">
        <f>IF(Z10=$AZ$3,10,(IF(Z10=$AW$3,0,0)))</f>
        <v>10</v>
      </c>
      <c r="AB10" s="46" t="s">
        <v>170</v>
      </c>
      <c r="AC10" s="46">
        <f>IF(AB10=$AZ$3,30,(IF(AB10=$AW$3,0,0)))</f>
        <v>0</v>
      </c>
      <c r="AD10" s="46">
        <f>+Q10+S10+U10+W10+Y10+AA10+AC10</f>
        <v>55</v>
      </c>
      <c r="AE10" s="46" t="str">
        <f>IF(AD10&lt;=50,"0",IF(AD10&lt;=75,"1",IF(AD10&lt;=100,"2","")))</f>
        <v>1</v>
      </c>
      <c r="AF10" s="46" t="s">
        <v>234</v>
      </c>
      <c r="AG10" s="46">
        <f>IF(AF10=$AV$2,5,(IF(AF10=$AV$3,4,IF(AF10=$AV$4,3,(IF(AF10=$AV$5,2,1))))))</f>
        <v>1</v>
      </c>
      <c r="AH10" s="46" t="s">
        <v>2</v>
      </c>
      <c r="AI10" s="78">
        <v>5</v>
      </c>
      <c r="AJ10" s="78">
        <f>+AG10*AI10</f>
        <v>5</v>
      </c>
      <c r="AK10" s="46" t="str">
        <f>IF(AJ10&lt;=0,"",IF(AJ10&lt;=10,"Baja",IF(AJ10&lt;=25,"Moderada",IF(AJ10&lt;=50,"Alta",IF(AJ10&lt;=100,"Extrema","Extrema")))))</f>
        <v>Baja</v>
      </c>
      <c r="AL10" s="67" t="s">
        <v>338</v>
      </c>
      <c r="AM10" s="67" t="s">
        <v>329</v>
      </c>
      <c r="AN10" s="93" t="s">
        <v>445</v>
      </c>
      <c r="AO10" s="200"/>
      <c r="AP10" s="145"/>
      <c r="AQ10" s="67"/>
    </row>
    <row r="11" spans="1:52" ht="89.5" customHeight="1" x14ac:dyDescent="0.35">
      <c r="A11" s="195"/>
      <c r="B11" s="195"/>
      <c r="C11" s="67" t="s">
        <v>368</v>
      </c>
      <c r="D11" s="67" t="s">
        <v>284</v>
      </c>
      <c r="E11" s="68" t="s">
        <v>287</v>
      </c>
      <c r="F11" s="46" t="s">
        <v>221</v>
      </c>
      <c r="G11" s="82">
        <v>2</v>
      </c>
      <c r="H11" s="46" t="s">
        <v>2</v>
      </c>
      <c r="I11" s="83">
        <v>5</v>
      </c>
      <c r="J11" s="46">
        <f t="shared" ref="J11:J26" si="0">+G11*I11</f>
        <v>10</v>
      </c>
      <c r="K11" s="46" t="str">
        <f t="shared" ref="K11:K26" si="1">IF(J11&lt;=0,"",IF(J11&lt;=10,"Baja",IF(J11&lt;=25,"Moderada",IF(J11&lt;=50,"Alta",IF(J11&lt;=100,"Extrema","Extrema")))))</f>
        <v>Baja</v>
      </c>
      <c r="L11" s="69" t="s">
        <v>290</v>
      </c>
      <c r="M11" s="67" t="s">
        <v>294</v>
      </c>
      <c r="N11" s="67" t="s">
        <v>443</v>
      </c>
      <c r="O11" s="70" t="s">
        <v>335</v>
      </c>
      <c r="P11" s="46" t="s">
        <v>169</v>
      </c>
      <c r="Q11" s="46">
        <f>IF(P11=$AZ$3,15,(IF(P11=$AW$3,0,0)))</f>
        <v>15</v>
      </c>
      <c r="R11" s="46" t="s">
        <v>169</v>
      </c>
      <c r="S11" s="46">
        <f>IF(R11=$AZ$3,5,(IF(R11=$AW$3,0,0)))</f>
        <v>5</v>
      </c>
      <c r="T11" s="46" t="s">
        <v>170</v>
      </c>
      <c r="U11" s="46">
        <f>IF(T11=$AZ$3,15,(IF(T11=$AW$3,0,0)))</f>
        <v>0</v>
      </c>
      <c r="V11" s="46" t="s">
        <v>169</v>
      </c>
      <c r="W11" s="46">
        <f>IF(V11=$AZ$3,10,(IF(V11=$AW$3,0,0)))</f>
        <v>10</v>
      </c>
      <c r="X11" s="46" t="s">
        <v>169</v>
      </c>
      <c r="Y11" s="46">
        <f>IF(X11=$AZ$3,15,(IF(X11=$AW$3,0,0)))</f>
        <v>15</v>
      </c>
      <c r="Z11" s="46" t="s">
        <v>169</v>
      </c>
      <c r="AA11" s="46">
        <f>IF(Z11=$AZ$3,10,(IF(Z11=$AW$3,0,0)))</f>
        <v>10</v>
      </c>
      <c r="AB11" s="46" t="s">
        <v>170</v>
      </c>
      <c r="AC11" s="46">
        <f>IF(AB11=$AZ$3,30,(IF(AB11=$AW$3,0,0)))</f>
        <v>0</v>
      </c>
      <c r="AD11" s="46">
        <f>+Q11+S11+U11+W11+Y11+AA11+AC11</f>
        <v>55</v>
      </c>
      <c r="AE11" s="46" t="str">
        <f>IF(AD11&lt;=50,"0",IF(AD11&lt;=75,"1",IF(AD11&lt;=100,"2","")))</f>
        <v>1</v>
      </c>
      <c r="AF11" s="46" t="s">
        <v>234</v>
      </c>
      <c r="AG11" s="46">
        <f>IF(AF11=$AV$2,5,(IF(AF11=$AV$3,4,IF(AF11=$AV$4,3,(IF(AF11=$AV$5,2,1))))))</f>
        <v>1</v>
      </c>
      <c r="AH11" s="46" t="s">
        <v>2</v>
      </c>
      <c r="AI11" s="78">
        <v>5</v>
      </c>
      <c r="AJ11" s="78">
        <f>+AG11*AI11</f>
        <v>5</v>
      </c>
      <c r="AK11" s="46" t="str">
        <f>IF(AJ11&lt;=0,"",IF(AJ11&lt;=10,"Baja",IF(AJ11&lt;=25,"Moderada",IF(AJ11&lt;=50,"Alta",IF(AJ11&lt;=100,"Extrema","Extrema")))))</f>
        <v>Baja</v>
      </c>
      <c r="AL11" s="67" t="s">
        <v>338</v>
      </c>
      <c r="AM11" s="67" t="s">
        <v>442</v>
      </c>
      <c r="AN11" s="93">
        <v>45560</v>
      </c>
      <c r="AO11" s="200"/>
      <c r="AP11" s="145"/>
      <c r="AQ11" s="67"/>
    </row>
    <row r="12" spans="1:52" ht="96" x14ac:dyDescent="0.35">
      <c r="A12" s="196"/>
      <c r="B12" s="196"/>
      <c r="C12" s="67" t="s">
        <v>283</v>
      </c>
      <c r="D12" s="67" t="s">
        <v>337</v>
      </c>
      <c r="E12" s="68" t="s">
        <v>336</v>
      </c>
      <c r="F12" s="46" t="s">
        <v>221</v>
      </c>
      <c r="G12" s="82">
        <v>2</v>
      </c>
      <c r="H12" s="46" t="s">
        <v>2</v>
      </c>
      <c r="I12" s="83">
        <v>5</v>
      </c>
      <c r="J12" s="46">
        <f t="shared" ref="J12" si="2">+G12*I12</f>
        <v>10</v>
      </c>
      <c r="K12" s="46" t="str">
        <f t="shared" si="1"/>
        <v>Baja</v>
      </c>
      <c r="L12" s="69" t="s">
        <v>291</v>
      </c>
      <c r="M12" s="67" t="s">
        <v>294</v>
      </c>
      <c r="N12" s="67" t="s">
        <v>297</v>
      </c>
      <c r="O12" s="70" t="s">
        <v>300</v>
      </c>
      <c r="P12" s="46" t="s">
        <v>170</v>
      </c>
      <c r="Q12" s="46">
        <f t="shared" ref="Q12:Q25" si="3">IF(P12=$AZ$3,15,(IF(P12=$AW$3,0,0)))</f>
        <v>0</v>
      </c>
      <c r="R12" s="46" t="s">
        <v>170</v>
      </c>
      <c r="S12" s="46">
        <f t="shared" ref="S12:S25" si="4">IF(R12=$AZ$3,5,(IF(R12=$AW$3,0,0)))</f>
        <v>0</v>
      </c>
      <c r="T12" s="46" t="s">
        <v>170</v>
      </c>
      <c r="U12" s="46">
        <f t="shared" ref="U12:U25" si="5">IF(T12=$AZ$3,15,(IF(T12=$AW$3,0,0)))</f>
        <v>0</v>
      </c>
      <c r="V12" s="46" t="s">
        <v>169</v>
      </c>
      <c r="W12" s="46">
        <f t="shared" ref="W12:W25" si="6">IF(V12=$AZ$3,10,(IF(V12=$AW$3,0,0)))</f>
        <v>10</v>
      </c>
      <c r="X12" s="46" t="s">
        <v>169</v>
      </c>
      <c r="Y12" s="46">
        <f t="shared" ref="Y12:Y18" si="7">IF(X12=$AZ$3,15,(IF(X12=$AW$3,0,0)))</f>
        <v>15</v>
      </c>
      <c r="Z12" s="46" t="s">
        <v>169</v>
      </c>
      <c r="AA12" s="46">
        <f t="shared" ref="AA12:AA18" si="8">IF(Z12=$AZ$3,10,(IF(Z12=$AW$3,0,0)))</f>
        <v>10</v>
      </c>
      <c r="AB12" s="46" t="s">
        <v>169</v>
      </c>
      <c r="AC12" s="46">
        <f t="shared" ref="AC12:AC18" si="9">IF(AB12=$AZ$3,30,(IF(AB12=$AW$3,0,0)))</f>
        <v>30</v>
      </c>
      <c r="AD12" s="46">
        <f t="shared" ref="AD12" si="10">+Q12+S12+U12+W12+Y12+AA12+AC12</f>
        <v>65</v>
      </c>
      <c r="AE12" s="46" t="str">
        <f t="shared" ref="AE12" si="11">IF(AD12&lt;=50,"0",IF(AD12&lt;=75,"1",IF(AD12&lt;=100,"2","")))</f>
        <v>1</v>
      </c>
      <c r="AF12" s="46" t="s">
        <v>234</v>
      </c>
      <c r="AG12" s="46">
        <f>IF(AF12=$AV$2,5,(IF(AF12=$AV$3,4,IF(AF12=$AV$4,3,(IF(AF12=$AV$5,2,1))))))</f>
        <v>1</v>
      </c>
      <c r="AH12" s="46" t="s">
        <v>2</v>
      </c>
      <c r="AI12" s="78">
        <v>5</v>
      </c>
      <c r="AJ12" s="78">
        <f>+AG12*AI12</f>
        <v>5</v>
      </c>
      <c r="AK12" s="46" t="str">
        <f>IF(AJ12&lt;=0,"",IF(AJ12&lt;=10,"Baja",IF(AJ12&lt;=25,"Moderada",IF(AJ12&lt;=50,"Alta",IF(AJ12&lt;=100,"Extrema","Extrema")))))</f>
        <v>Baja</v>
      </c>
      <c r="AL12" s="67" t="s">
        <v>338</v>
      </c>
      <c r="AM12" s="67" t="s">
        <v>441</v>
      </c>
      <c r="AN12" s="93">
        <v>45560</v>
      </c>
      <c r="AO12" s="201"/>
      <c r="AP12" s="145"/>
      <c r="AQ12" s="67"/>
    </row>
    <row r="13" spans="1:52" ht="160" x14ac:dyDescent="0.35">
      <c r="A13" s="142" t="s">
        <v>301</v>
      </c>
      <c r="B13" s="141" t="s">
        <v>353</v>
      </c>
      <c r="C13" s="67" t="s">
        <v>395</v>
      </c>
      <c r="D13" s="66" t="s">
        <v>302</v>
      </c>
      <c r="E13" s="90" t="s">
        <v>303</v>
      </c>
      <c r="F13" s="46" t="s">
        <v>224</v>
      </c>
      <c r="G13" s="79">
        <v>2</v>
      </c>
      <c r="H13" s="46" t="s">
        <v>2</v>
      </c>
      <c r="I13" s="83">
        <v>5</v>
      </c>
      <c r="J13" s="46">
        <f t="shared" si="0"/>
        <v>10</v>
      </c>
      <c r="K13" s="46" t="str">
        <f t="shared" si="1"/>
        <v>Baja</v>
      </c>
      <c r="L13" s="91" t="s">
        <v>319</v>
      </c>
      <c r="M13" s="67" t="s">
        <v>321</v>
      </c>
      <c r="N13" s="67" t="s">
        <v>431</v>
      </c>
      <c r="O13" s="70" t="s">
        <v>428</v>
      </c>
      <c r="P13" s="46" t="s">
        <v>169</v>
      </c>
      <c r="Q13" s="46">
        <f t="shared" si="3"/>
        <v>15</v>
      </c>
      <c r="R13" s="46" t="s">
        <v>169</v>
      </c>
      <c r="S13" s="46">
        <f t="shared" si="4"/>
        <v>5</v>
      </c>
      <c r="T13" s="46" t="s">
        <v>170</v>
      </c>
      <c r="U13" s="46">
        <f t="shared" si="5"/>
        <v>0</v>
      </c>
      <c r="V13" s="46" t="s">
        <v>169</v>
      </c>
      <c r="W13" s="46">
        <f t="shared" si="6"/>
        <v>10</v>
      </c>
      <c r="X13" s="46" t="s">
        <v>169</v>
      </c>
      <c r="Y13" s="46">
        <f t="shared" si="7"/>
        <v>15</v>
      </c>
      <c r="Z13" s="46" t="s">
        <v>169</v>
      </c>
      <c r="AA13" s="46">
        <f t="shared" si="8"/>
        <v>10</v>
      </c>
      <c r="AB13" s="46" t="s">
        <v>169</v>
      </c>
      <c r="AC13" s="46">
        <f t="shared" si="9"/>
        <v>30</v>
      </c>
      <c r="AD13" s="46">
        <f t="shared" ref="AD13:AD18" si="12">+Q13+S13+U13+W13+Y13+AA13+AC13</f>
        <v>85</v>
      </c>
      <c r="AE13" s="46" t="str">
        <f t="shared" ref="AE13:AE18" si="13">IF(AD13&lt;=50,"0",IF(AD13&lt;=75,"1",IF(AD13&lt;=100,"2","")))</f>
        <v>2</v>
      </c>
      <c r="AF13" s="46" t="s">
        <v>224</v>
      </c>
      <c r="AG13" s="46">
        <v>3</v>
      </c>
      <c r="AH13" s="46" t="s">
        <v>2</v>
      </c>
      <c r="AI13" s="46">
        <v>5</v>
      </c>
      <c r="AJ13" s="78">
        <f t="shared" ref="AJ13:AJ19" si="14">+AG13*AI13</f>
        <v>15</v>
      </c>
      <c r="AK13" s="46" t="str">
        <f t="shared" ref="AK13:AK19" si="15">IF(AJ13&lt;=0,"",IF(AJ13&lt;=10,"Baja",IF(AJ13&lt;=25,"Moderada",IF(AJ13&lt;=50,"Alta",IF(AJ13&lt;=100,"Extrema","Extrema")))))</f>
        <v>Moderada</v>
      </c>
      <c r="AL13" s="67" t="s">
        <v>429</v>
      </c>
      <c r="AM13" s="73" t="s">
        <v>430</v>
      </c>
      <c r="AN13" s="92">
        <v>45601</v>
      </c>
      <c r="AO13" s="81"/>
      <c r="AP13" s="67"/>
      <c r="AQ13" s="73"/>
    </row>
    <row r="14" spans="1:52" ht="111.5" customHeight="1" x14ac:dyDescent="0.35">
      <c r="A14" s="227" t="s">
        <v>304</v>
      </c>
      <c r="B14" s="197" t="s">
        <v>410</v>
      </c>
      <c r="C14" s="70" t="s">
        <v>388</v>
      </c>
      <c r="D14" s="107" t="s">
        <v>356</v>
      </c>
      <c r="E14" s="117" t="s">
        <v>303</v>
      </c>
      <c r="F14" s="46" t="s">
        <v>234</v>
      </c>
      <c r="G14" s="83">
        <v>1</v>
      </c>
      <c r="H14" s="46" t="s">
        <v>2</v>
      </c>
      <c r="I14" s="83">
        <v>5</v>
      </c>
      <c r="J14" s="46">
        <f t="shared" si="0"/>
        <v>5</v>
      </c>
      <c r="K14" s="46" t="str">
        <f t="shared" ref="K14" si="16">IF(J14&lt;=0,"",IF(J14&lt;=10,"Baja",IF(J14&lt;=25,"Moderada",IF(J14&lt;=50,"Alta",IF(J14&lt;=100,"Extrema","Extrema")))))</f>
        <v>Baja</v>
      </c>
      <c r="L14" s="110" t="s">
        <v>387</v>
      </c>
      <c r="M14" s="120" t="s">
        <v>322</v>
      </c>
      <c r="N14" s="110" t="s">
        <v>387</v>
      </c>
      <c r="O14" s="110" t="s">
        <v>387</v>
      </c>
      <c r="P14" s="46" t="s">
        <v>169</v>
      </c>
      <c r="Q14" s="46">
        <f t="shared" si="3"/>
        <v>15</v>
      </c>
      <c r="R14" s="46" t="s">
        <v>169</v>
      </c>
      <c r="S14" s="46">
        <f t="shared" si="4"/>
        <v>5</v>
      </c>
      <c r="T14" s="46" t="s">
        <v>169</v>
      </c>
      <c r="U14" s="46">
        <f t="shared" si="5"/>
        <v>15</v>
      </c>
      <c r="V14" s="46" t="s">
        <v>170</v>
      </c>
      <c r="W14" s="46">
        <f t="shared" si="6"/>
        <v>0</v>
      </c>
      <c r="X14" s="46" t="s">
        <v>169</v>
      </c>
      <c r="Y14" s="46">
        <f t="shared" si="7"/>
        <v>15</v>
      </c>
      <c r="Z14" s="46" t="s">
        <v>169</v>
      </c>
      <c r="AA14" s="46">
        <f t="shared" si="8"/>
        <v>10</v>
      </c>
      <c r="AB14" s="46" t="s">
        <v>169</v>
      </c>
      <c r="AC14" s="46">
        <f t="shared" si="9"/>
        <v>30</v>
      </c>
      <c r="AD14" s="46">
        <f t="shared" si="12"/>
        <v>90</v>
      </c>
      <c r="AE14" s="46" t="str">
        <f t="shared" si="13"/>
        <v>2</v>
      </c>
      <c r="AF14" s="46" t="s">
        <v>221</v>
      </c>
      <c r="AG14" s="46">
        <v>2</v>
      </c>
      <c r="AH14" s="131" t="s">
        <v>2</v>
      </c>
      <c r="AI14" s="78">
        <v>5</v>
      </c>
      <c r="AJ14" s="78">
        <f t="shared" si="14"/>
        <v>10</v>
      </c>
      <c r="AK14" s="46" t="str">
        <f t="shared" si="15"/>
        <v>Baja</v>
      </c>
      <c r="AL14" s="228" t="s">
        <v>411</v>
      </c>
      <c r="AM14" s="107" t="s">
        <v>358</v>
      </c>
      <c r="AN14" s="92">
        <v>45580</v>
      </c>
      <c r="AO14" s="130"/>
      <c r="AP14" s="228"/>
      <c r="AQ14" s="107"/>
    </row>
    <row r="15" spans="1:52" ht="95" customHeight="1" x14ac:dyDescent="0.35">
      <c r="A15" s="195"/>
      <c r="B15" s="195"/>
      <c r="C15" s="70" t="s">
        <v>389</v>
      </c>
      <c r="D15" s="87" t="s">
        <v>355</v>
      </c>
      <c r="E15" s="112" t="s">
        <v>305</v>
      </c>
      <c r="F15" s="46" t="s">
        <v>234</v>
      </c>
      <c r="G15" s="83">
        <v>1</v>
      </c>
      <c r="H15" s="46" t="s">
        <v>2</v>
      </c>
      <c r="I15" s="83">
        <v>5</v>
      </c>
      <c r="J15" s="46">
        <f t="shared" ref="J15" si="17">+G15*I15</f>
        <v>5</v>
      </c>
      <c r="K15" s="46" t="str">
        <f t="shared" ref="K15" si="18">IF(J15&lt;=0,"",IF(J15&lt;=10,"Baja",IF(J15&lt;=25,"Moderada",IF(J15&lt;=50,"Alta",IF(J15&lt;=100,"Extrema","Extrema")))))</f>
        <v>Baja</v>
      </c>
      <c r="L15" s="87" t="s">
        <v>393</v>
      </c>
      <c r="M15" s="121" t="s">
        <v>292</v>
      </c>
      <c r="N15" s="108" t="s">
        <v>357</v>
      </c>
      <c r="O15" s="146" t="s">
        <v>394</v>
      </c>
      <c r="P15" s="46" t="s">
        <v>170</v>
      </c>
      <c r="Q15" s="46">
        <f t="shared" si="3"/>
        <v>0</v>
      </c>
      <c r="R15" s="46" t="s">
        <v>170</v>
      </c>
      <c r="S15" s="46">
        <f t="shared" si="4"/>
        <v>0</v>
      </c>
      <c r="T15" s="46" t="s">
        <v>170</v>
      </c>
      <c r="U15" s="46">
        <f t="shared" si="5"/>
        <v>0</v>
      </c>
      <c r="V15" s="46" t="s">
        <v>169</v>
      </c>
      <c r="W15" s="46">
        <f t="shared" si="6"/>
        <v>10</v>
      </c>
      <c r="X15" s="46" t="s">
        <v>169</v>
      </c>
      <c r="Y15" s="46">
        <f t="shared" si="7"/>
        <v>15</v>
      </c>
      <c r="Z15" s="46" t="s">
        <v>169</v>
      </c>
      <c r="AA15" s="46">
        <f t="shared" si="8"/>
        <v>10</v>
      </c>
      <c r="AB15" s="46" t="s">
        <v>169</v>
      </c>
      <c r="AC15" s="46">
        <f t="shared" si="9"/>
        <v>30</v>
      </c>
      <c r="AD15" s="46">
        <f t="shared" si="12"/>
        <v>65</v>
      </c>
      <c r="AE15" s="46" t="str">
        <f t="shared" si="13"/>
        <v>1</v>
      </c>
      <c r="AF15" s="46" t="s">
        <v>234</v>
      </c>
      <c r="AG15" s="46">
        <v>1</v>
      </c>
      <c r="AH15" s="46" t="s">
        <v>2</v>
      </c>
      <c r="AI15" s="78">
        <v>5</v>
      </c>
      <c r="AJ15" s="78">
        <f t="shared" si="14"/>
        <v>5</v>
      </c>
      <c r="AK15" s="46" t="str">
        <f t="shared" si="15"/>
        <v>Baja</v>
      </c>
      <c r="AL15" s="187"/>
      <c r="AM15" s="87" t="s">
        <v>433</v>
      </c>
      <c r="AN15" s="92">
        <v>45580</v>
      </c>
      <c r="AO15" s="130"/>
      <c r="AP15" s="187"/>
      <c r="AQ15" s="87"/>
    </row>
    <row r="16" spans="1:52" ht="384" x14ac:dyDescent="0.35">
      <c r="A16" s="74" t="s">
        <v>306</v>
      </c>
      <c r="B16" s="66" t="s">
        <v>413</v>
      </c>
      <c r="C16" s="67" t="s">
        <v>396</v>
      </c>
      <c r="D16" s="127" t="s">
        <v>407</v>
      </c>
      <c r="E16" s="107" t="s">
        <v>307</v>
      </c>
      <c r="F16" s="46" t="s">
        <v>234</v>
      </c>
      <c r="G16" s="83">
        <v>1</v>
      </c>
      <c r="H16" s="46" t="s">
        <v>21</v>
      </c>
      <c r="I16" s="123">
        <v>20</v>
      </c>
      <c r="J16" s="46">
        <f t="shared" si="0"/>
        <v>20</v>
      </c>
      <c r="K16" s="46" t="str">
        <f t="shared" si="1"/>
        <v>Moderada</v>
      </c>
      <c r="L16" s="109" t="s">
        <v>414</v>
      </c>
      <c r="M16" s="66" t="s">
        <v>322</v>
      </c>
      <c r="N16" s="109" t="s">
        <v>414</v>
      </c>
      <c r="O16" s="109" t="s">
        <v>408</v>
      </c>
      <c r="P16" s="46" t="s">
        <v>169</v>
      </c>
      <c r="Q16" s="46">
        <f t="shared" si="3"/>
        <v>15</v>
      </c>
      <c r="R16" s="46" t="s">
        <v>169</v>
      </c>
      <c r="S16" s="46">
        <f t="shared" si="4"/>
        <v>5</v>
      </c>
      <c r="T16" s="46" t="s">
        <v>169</v>
      </c>
      <c r="U16" s="46">
        <f t="shared" si="5"/>
        <v>15</v>
      </c>
      <c r="V16" s="46" t="s">
        <v>169</v>
      </c>
      <c r="W16" s="46">
        <f t="shared" si="6"/>
        <v>10</v>
      </c>
      <c r="X16" s="46" t="s">
        <v>169</v>
      </c>
      <c r="Y16" s="46">
        <f t="shared" si="7"/>
        <v>15</v>
      </c>
      <c r="Z16" s="46" t="s">
        <v>169</v>
      </c>
      <c r="AA16" s="46">
        <f t="shared" si="8"/>
        <v>10</v>
      </c>
      <c r="AB16" s="46" t="s">
        <v>169</v>
      </c>
      <c r="AC16" s="46">
        <f t="shared" si="9"/>
        <v>30</v>
      </c>
      <c r="AD16" s="46">
        <f t="shared" si="12"/>
        <v>100</v>
      </c>
      <c r="AE16" s="46" t="str">
        <f t="shared" si="13"/>
        <v>2</v>
      </c>
      <c r="AF16" s="46" t="s">
        <v>234</v>
      </c>
      <c r="AG16" s="46">
        <v>1</v>
      </c>
      <c r="AH16" s="46" t="s">
        <v>21</v>
      </c>
      <c r="AI16" s="46">
        <v>20</v>
      </c>
      <c r="AJ16" s="78">
        <f t="shared" si="14"/>
        <v>20</v>
      </c>
      <c r="AK16" s="46" t="str">
        <f t="shared" si="15"/>
        <v>Moderada</v>
      </c>
      <c r="AL16" s="66" t="s">
        <v>409</v>
      </c>
      <c r="AM16" s="126" t="s">
        <v>331</v>
      </c>
      <c r="AN16" s="129">
        <v>45581</v>
      </c>
      <c r="AO16" s="100"/>
      <c r="AP16" s="66"/>
      <c r="AQ16" s="126"/>
    </row>
    <row r="17" spans="1:43" ht="409.5" customHeight="1" x14ac:dyDescent="0.35">
      <c r="A17" s="74" t="s">
        <v>308</v>
      </c>
      <c r="B17" s="66" t="s">
        <v>354</v>
      </c>
      <c r="C17" s="66" t="s">
        <v>380</v>
      </c>
      <c r="D17" s="66" t="s">
        <v>381</v>
      </c>
      <c r="E17" s="128" t="s">
        <v>382</v>
      </c>
      <c r="F17" s="89" t="s">
        <v>227</v>
      </c>
      <c r="G17" s="103">
        <v>4</v>
      </c>
      <c r="H17" s="89" t="s">
        <v>22</v>
      </c>
      <c r="I17" s="104">
        <v>10</v>
      </c>
      <c r="J17" s="89">
        <f t="shared" si="0"/>
        <v>40</v>
      </c>
      <c r="K17" s="98" t="str">
        <f t="shared" si="1"/>
        <v>Alta</v>
      </c>
      <c r="L17" s="91" t="s">
        <v>370</v>
      </c>
      <c r="M17" s="66" t="s">
        <v>322</v>
      </c>
      <c r="N17" s="66" t="s">
        <v>370</v>
      </c>
      <c r="O17" s="99" t="s">
        <v>371</v>
      </c>
      <c r="P17" s="46" t="s">
        <v>169</v>
      </c>
      <c r="Q17" s="46">
        <f t="shared" si="3"/>
        <v>15</v>
      </c>
      <c r="R17" s="46" t="s">
        <v>169</v>
      </c>
      <c r="S17" s="46">
        <f t="shared" si="4"/>
        <v>5</v>
      </c>
      <c r="T17" s="46" t="s">
        <v>170</v>
      </c>
      <c r="U17" s="46">
        <f t="shared" si="5"/>
        <v>0</v>
      </c>
      <c r="V17" s="46" t="s">
        <v>169</v>
      </c>
      <c r="W17" s="46">
        <f t="shared" si="6"/>
        <v>10</v>
      </c>
      <c r="X17" s="46" t="s">
        <v>169</v>
      </c>
      <c r="Y17" s="46">
        <f t="shared" si="7"/>
        <v>15</v>
      </c>
      <c r="Z17" s="46" t="s">
        <v>169</v>
      </c>
      <c r="AA17" s="46">
        <f t="shared" si="8"/>
        <v>10</v>
      </c>
      <c r="AB17" s="46" t="s">
        <v>169</v>
      </c>
      <c r="AC17" s="46">
        <f t="shared" si="9"/>
        <v>30</v>
      </c>
      <c r="AD17" s="46">
        <f t="shared" si="12"/>
        <v>85</v>
      </c>
      <c r="AE17" s="46" t="str">
        <f t="shared" si="13"/>
        <v>2</v>
      </c>
      <c r="AF17" s="46" t="s">
        <v>227</v>
      </c>
      <c r="AG17" s="46">
        <v>4</v>
      </c>
      <c r="AH17" s="46" t="s">
        <v>22</v>
      </c>
      <c r="AI17" s="122">
        <v>10</v>
      </c>
      <c r="AJ17" s="78">
        <f t="shared" si="14"/>
        <v>40</v>
      </c>
      <c r="AK17" s="46" t="str">
        <f t="shared" si="15"/>
        <v>Alta</v>
      </c>
      <c r="AL17" s="66" t="s">
        <v>372</v>
      </c>
      <c r="AM17" s="67" t="s">
        <v>437</v>
      </c>
      <c r="AN17" s="92">
        <v>45576</v>
      </c>
      <c r="AO17" s="81"/>
      <c r="AP17" s="66"/>
      <c r="AQ17" s="67"/>
    </row>
    <row r="18" spans="1:43" ht="159.5" customHeight="1" x14ac:dyDescent="0.35">
      <c r="A18" s="194" t="s">
        <v>309</v>
      </c>
      <c r="B18" s="197" t="s">
        <v>416</v>
      </c>
      <c r="C18" s="67" t="s">
        <v>417</v>
      </c>
      <c r="D18" s="66" t="s">
        <v>418</v>
      </c>
      <c r="E18" s="72" t="s">
        <v>397</v>
      </c>
      <c r="F18" s="46" t="s">
        <v>234</v>
      </c>
      <c r="G18" s="83">
        <v>1</v>
      </c>
      <c r="H18" s="46" t="s">
        <v>22</v>
      </c>
      <c r="I18" s="104">
        <v>10</v>
      </c>
      <c r="J18" s="89">
        <f t="shared" ref="J18:J21" si="19">+G18*I18</f>
        <v>10</v>
      </c>
      <c r="K18" s="98" t="str">
        <f t="shared" si="1"/>
        <v>Baja</v>
      </c>
      <c r="L18" s="91" t="s">
        <v>415</v>
      </c>
      <c r="M18" s="67" t="s">
        <v>323</v>
      </c>
      <c r="N18" s="66" t="s">
        <v>349</v>
      </c>
      <c r="O18" s="70" t="s">
        <v>398</v>
      </c>
      <c r="P18" s="46" t="s">
        <v>169</v>
      </c>
      <c r="Q18" s="46">
        <f t="shared" si="3"/>
        <v>15</v>
      </c>
      <c r="R18" s="46" t="s">
        <v>169</v>
      </c>
      <c r="S18" s="46">
        <f t="shared" si="4"/>
        <v>5</v>
      </c>
      <c r="T18" s="46" t="s">
        <v>170</v>
      </c>
      <c r="U18" s="46">
        <f t="shared" si="5"/>
        <v>0</v>
      </c>
      <c r="V18" s="46" t="s">
        <v>169</v>
      </c>
      <c r="W18" s="46">
        <f t="shared" si="6"/>
        <v>10</v>
      </c>
      <c r="X18" s="46" t="s">
        <v>169</v>
      </c>
      <c r="Y18" s="46">
        <f t="shared" si="7"/>
        <v>15</v>
      </c>
      <c r="Z18" s="46" t="s">
        <v>169</v>
      </c>
      <c r="AA18" s="46">
        <f t="shared" si="8"/>
        <v>10</v>
      </c>
      <c r="AB18" s="46" t="s">
        <v>169</v>
      </c>
      <c r="AC18" s="46">
        <f t="shared" si="9"/>
        <v>30</v>
      </c>
      <c r="AD18" s="46">
        <f t="shared" si="12"/>
        <v>85</v>
      </c>
      <c r="AE18" s="46" t="str">
        <f t="shared" si="13"/>
        <v>2</v>
      </c>
      <c r="AF18" s="46" t="s">
        <v>234</v>
      </c>
      <c r="AG18" s="46">
        <v>1</v>
      </c>
      <c r="AH18" s="46" t="s">
        <v>2</v>
      </c>
      <c r="AI18" s="78">
        <v>5</v>
      </c>
      <c r="AJ18" s="78">
        <f t="shared" si="14"/>
        <v>5</v>
      </c>
      <c r="AK18" s="46" t="str">
        <f t="shared" si="15"/>
        <v>Baja</v>
      </c>
      <c r="AL18" s="66" t="s">
        <v>326</v>
      </c>
      <c r="AM18" s="67" t="s">
        <v>399</v>
      </c>
      <c r="AN18" s="92">
        <v>45572</v>
      </c>
      <c r="AO18" s="105"/>
      <c r="AP18" s="66"/>
      <c r="AQ18" s="67"/>
    </row>
    <row r="19" spans="1:43" ht="159.5" customHeight="1" x14ac:dyDescent="0.35">
      <c r="A19" s="198"/>
      <c r="B19" s="202"/>
      <c r="C19" s="67" t="s">
        <v>419</v>
      </c>
      <c r="D19" s="72" t="s">
        <v>420</v>
      </c>
      <c r="E19" s="188" t="s">
        <v>426</v>
      </c>
      <c r="F19" s="46" t="s">
        <v>234</v>
      </c>
      <c r="G19" s="83">
        <v>1</v>
      </c>
      <c r="H19" s="46" t="s">
        <v>22</v>
      </c>
      <c r="I19" s="104">
        <v>10</v>
      </c>
      <c r="J19" s="89">
        <f t="shared" si="19"/>
        <v>10</v>
      </c>
      <c r="K19" s="98" t="str">
        <f t="shared" si="1"/>
        <v>Baja</v>
      </c>
      <c r="L19" s="203" t="s">
        <v>352</v>
      </c>
      <c r="M19" s="206" t="s">
        <v>351</v>
      </c>
      <c r="N19" s="203" t="s">
        <v>352</v>
      </c>
      <c r="O19" s="209" t="s">
        <v>350</v>
      </c>
      <c r="P19" s="46" t="s">
        <v>169</v>
      </c>
      <c r="Q19" s="46">
        <f t="shared" ref="Q19:Q22" si="20">IF(P19=$AZ$3,15,(IF(P19=$AW$3,0,0)))</f>
        <v>15</v>
      </c>
      <c r="R19" s="46" t="s">
        <v>169</v>
      </c>
      <c r="S19" s="46">
        <f t="shared" ref="S19:S22" si="21">IF(R19=$AZ$3,5,(IF(R19=$AW$3,0,0)))</f>
        <v>5</v>
      </c>
      <c r="T19" s="46" t="s">
        <v>170</v>
      </c>
      <c r="U19" s="46">
        <f t="shared" ref="U19:U22" si="22">IF(T19=$AZ$3,15,(IF(T19=$AW$3,0,0)))</f>
        <v>0</v>
      </c>
      <c r="V19" s="46" t="s">
        <v>169</v>
      </c>
      <c r="W19" s="46">
        <f t="shared" ref="W19:W22" si="23">IF(V19=$AZ$3,10,(IF(V19=$AW$3,0,0)))</f>
        <v>10</v>
      </c>
      <c r="X19" s="46" t="s">
        <v>169</v>
      </c>
      <c r="Y19" s="46">
        <f t="shared" ref="Y19:Y22" si="24">IF(X19=$AZ$3,15,(IF(X19=$AW$3,0,0)))</f>
        <v>15</v>
      </c>
      <c r="Z19" s="46" t="s">
        <v>169</v>
      </c>
      <c r="AA19" s="46">
        <f t="shared" ref="AA19:AA22" si="25">IF(Z19=$AZ$3,10,(IF(Z19=$AW$3,0,0)))</f>
        <v>10</v>
      </c>
      <c r="AB19" s="46" t="s">
        <v>169</v>
      </c>
      <c r="AC19" s="46">
        <f t="shared" ref="AC19:AC22" si="26">IF(AB19=$AZ$3,30,(IF(AB19=$AW$3,0,0)))</f>
        <v>30</v>
      </c>
      <c r="AD19" s="46">
        <f t="shared" ref="AD19:AD22" si="27">+Q19+S19+U19+W19+Y19+AA19+AC19</f>
        <v>85</v>
      </c>
      <c r="AE19" s="46" t="str">
        <f t="shared" ref="AE19:AE22" si="28">IF(AD19&lt;=50,"0",IF(AD19&lt;=75,"1",IF(AD19&lt;=100,"2","")))</f>
        <v>2</v>
      </c>
      <c r="AF19" s="46" t="s">
        <v>234</v>
      </c>
      <c r="AG19" s="46">
        <v>1</v>
      </c>
      <c r="AH19" s="46" t="s">
        <v>22</v>
      </c>
      <c r="AI19" s="78">
        <v>10</v>
      </c>
      <c r="AJ19" s="78">
        <f t="shared" si="14"/>
        <v>10</v>
      </c>
      <c r="AK19" s="46" t="str">
        <f t="shared" si="15"/>
        <v>Baja</v>
      </c>
      <c r="AL19" s="197" t="s">
        <v>327</v>
      </c>
      <c r="AM19" s="197" t="s">
        <v>330</v>
      </c>
      <c r="AN19" s="190">
        <v>45572</v>
      </c>
      <c r="AO19" s="213"/>
      <c r="AP19" s="197"/>
      <c r="AQ19" s="197"/>
    </row>
    <row r="20" spans="1:43" ht="159.5" customHeight="1" x14ac:dyDescent="0.35">
      <c r="A20" s="198"/>
      <c r="B20" s="202"/>
      <c r="C20" s="67" t="s">
        <v>421</v>
      </c>
      <c r="D20" s="72" t="s">
        <v>427</v>
      </c>
      <c r="E20" s="188"/>
      <c r="F20" s="46" t="s">
        <v>234</v>
      </c>
      <c r="G20" s="83">
        <v>1</v>
      </c>
      <c r="H20" s="46" t="s">
        <v>22</v>
      </c>
      <c r="I20" s="104">
        <v>10</v>
      </c>
      <c r="J20" s="89">
        <f t="shared" si="19"/>
        <v>10</v>
      </c>
      <c r="K20" s="98" t="str">
        <f t="shared" si="1"/>
        <v>Baja</v>
      </c>
      <c r="L20" s="204"/>
      <c r="M20" s="207"/>
      <c r="N20" s="204"/>
      <c r="O20" s="210"/>
      <c r="P20" s="46" t="s">
        <v>169</v>
      </c>
      <c r="Q20" s="46">
        <f t="shared" si="20"/>
        <v>15</v>
      </c>
      <c r="R20" s="46" t="s">
        <v>169</v>
      </c>
      <c r="S20" s="46">
        <f t="shared" si="21"/>
        <v>5</v>
      </c>
      <c r="T20" s="46" t="s">
        <v>170</v>
      </c>
      <c r="U20" s="46">
        <f t="shared" si="22"/>
        <v>0</v>
      </c>
      <c r="V20" s="46" t="s">
        <v>169</v>
      </c>
      <c r="W20" s="46">
        <f t="shared" si="23"/>
        <v>10</v>
      </c>
      <c r="X20" s="46" t="s">
        <v>169</v>
      </c>
      <c r="Y20" s="46">
        <f t="shared" si="24"/>
        <v>15</v>
      </c>
      <c r="Z20" s="46" t="s">
        <v>169</v>
      </c>
      <c r="AA20" s="46">
        <f t="shared" si="25"/>
        <v>10</v>
      </c>
      <c r="AB20" s="46" t="s">
        <v>169</v>
      </c>
      <c r="AC20" s="46">
        <f t="shared" si="26"/>
        <v>30</v>
      </c>
      <c r="AD20" s="46">
        <f t="shared" si="27"/>
        <v>85</v>
      </c>
      <c r="AE20" s="46" t="str">
        <f t="shared" si="28"/>
        <v>2</v>
      </c>
      <c r="AF20" s="46" t="s">
        <v>234</v>
      </c>
      <c r="AG20" s="46">
        <v>1</v>
      </c>
      <c r="AH20" s="46" t="s">
        <v>22</v>
      </c>
      <c r="AI20" s="122">
        <v>10</v>
      </c>
      <c r="AJ20" s="78">
        <f t="shared" ref="AJ20:AJ22" si="29">+AG20*AI20</f>
        <v>10</v>
      </c>
      <c r="AK20" s="46" t="str">
        <f t="shared" ref="AK20:AK22" si="30">IF(AJ20&lt;=0,"",IF(AJ20&lt;=10,"Baja",IF(AJ20&lt;=25,"Moderada",IF(AJ20&lt;=50,"Alta",IF(AJ20&lt;=100,"Extrema","Extrema")))))</f>
        <v>Baja</v>
      </c>
      <c r="AL20" s="202"/>
      <c r="AM20" s="202"/>
      <c r="AN20" s="212"/>
      <c r="AO20" s="214"/>
      <c r="AP20" s="202"/>
      <c r="AQ20" s="202"/>
    </row>
    <row r="21" spans="1:43" ht="159.5" customHeight="1" x14ac:dyDescent="0.35">
      <c r="A21" s="198"/>
      <c r="B21" s="202"/>
      <c r="C21" s="67" t="s">
        <v>422</v>
      </c>
      <c r="D21" s="72" t="s">
        <v>423</v>
      </c>
      <c r="E21" s="188"/>
      <c r="F21" s="46" t="s">
        <v>234</v>
      </c>
      <c r="G21" s="83">
        <v>1</v>
      </c>
      <c r="H21" s="46" t="s">
        <v>22</v>
      </c>
      <c r="I21" s="104">
        <v>10</v>
      </c>
      <c r="J21" s="89">
        <f t="shared" si="19"/>
        <v>10</v>
      </c>
      <c r="K21" s="98" t="str">
        <f t="shared" si="1"/>
        <v>Baja</v>
      </c>
      <c r="L21" s="204"/>
      <c r="M21" s="207"/>
      <c r="N21" s="204"/>
      <c r="O21" s="210"/>
      <c r="P21" s="46" t="s">
        <v>169</v>
      </c>
      <c r="Q21" s="46">
        <f t="shared" si="20"/>
        <v>15</v>
      </c>
      <c r="R21" s="46" t="s">
        <v>169</v>
      </c>
      <c r="S21" s="46">
        <f t="shared" si="21"/>
        <v>5</v>
      </c>
      <c r="T21" s="46" t="s">
        <v>170</v>
      </c>
      <c r="U21" s="46">
        <f t="shared" si="22"/>
        <v>0</v>
      </c>
      <c r="V21" s="46" t="s">
        <v>169</v>
      </c>
      <c r="W21" s="46">
        <f t="shared" si="23"/>
        <v>10</v>
      </c>
      <c r="X21" s="46" t="s">
        <v>169</v>
      </c>
      <c r="Y21" s="46">
        <f t="shared" si="24"/>
        <v>15</v>
      </c>
      <c r="Z21" s="46" t="s">
        <v>169</v>
      </c>
      <c r="AA21" s="46">
        <f t="shared" si="25"/>
        <v>10</v>
      </c>
      <c r="AB21" s="46" t="s">
        <v>169</v>
      </c>
      <c r="AC21" s="46">
        <f t="shared" si="26"/>
        <v>30</v>
      </c>
      <c r="AD21" s="46">
        <f t="shared" si="27"/>
        <v>85</v>
      </c>
      <c r="AE21" s="46" t="str">
        <f t="shared" si="28"/>
        <v>2</v>
      </c>
      <c r="AF21" s="46" t="s">
        <v>234</v>
      </c>
      <c r="AG21" s="46">
        <v>1</v>
      </c>
      <c r="AH21" s="46" t="s">
        <v>22</v>
      </c>
      <c r="AI21" s="122">
        <v>10</v>
      </c>
      <c r="AJ21" s="78">
        <f t="shared" si="29"/>
        <v>10</v>
      </c>
      <c r="AK21" s="46" t="str">
        <f t="shared" si="30"/>
        <v>Baja</v>
      </c>
      <c r="AL21" s="202"/>
      <c r="AM21" s="202"/>
      <c r="AN21" s="212"/>
      <c r="AO21" s="214"/>
      <c r="AP21" s="202"/>
      <c r="AQ21" s="202"/>
    </row>
    <row r="22" spans="1:43" ht="176.5" customHeight="1" x14ac:dyDescent="0.35">
      <c r="A22" s="195"/>
      <c r="B22" s="202"/>
      <c r="C22" s="133" t="s">
        <v>424</v>
      </c>
      <c r="D22" s="132" t="s">
        <v>425</v>
      </c>
      <c r="E22" s="188"/>
      <c r="F22" s="46" t="s">
        <v>234</v>
      </c>
      <c r="G22" s="83">
        <v>1</v>
      </c>
      <c r="H22" s="46" t="s">
        <v>22</v>
      </c>
      <c r="I22" s="79">
        <v>10</v>
      </c>
      <c r="J22" s="46">
        <f t="shared" ref="J22" si="31">+G22*I22</f>
        <v>10</v>
      </c>
      <c r="K22" s="46" t="str">
        <f t="shared" ref="K22" si="32">IF(J22&lt;=0,"",IF(J22&lt;=10,"Baja",IF(J22&lt;=25,"Moderada",IF(J22&lt;=50,"Alta",IF(J22&lt;=100,"Extrema","Extrema")))))</f>
        <v>Baja</v>
      </c>
      <c r="L22" s="205"/>
      <c r="M22" s="208"/>
      <c r="N22" s="205"/>
      <c r="O22" s="211"/>
      <c r="P22" s="46" t="s">
        <v>169</v>
      </c>
      <c r="Q22" s="46">
        <f t="shared" si="20"/>
        <v>15</v>
      </c>
      <c r="R22" s="46" t="s">
        <v>169</v>
      </c>
      <c r="S22" s="46">
        <f t="shared" si="21"/>
        <v>5</v>
      </c>
      <c r="T22" s="46" t="s">
        <v>170</v>
      </c>
      <c r="U22" s="46">
        <f t="shared" si="22"/>
        <v>0</v>
      </c>
      <c r="V22" s="46" t="s">
        <v>169</v>
      </c>
      <c r="W22" s="46">
        <f t="shared" si="23"/>
        <v>10</v>
      </c>
      <c r="X22" s="46" t="s">
        <v>169</v>
      </c>
      <c r="Y22" s="46">
        <f t="shared" si="24"/>
        <v>15</v>
      </c>
      <c r="Z22" s="46" t="s">
        <v>169</v>
      </c>
      <c r="AA22" s="46">
        <f t="shared" si="25"/>
        <v>10</v>
      </c>
      <c r="AB22" s="46" t="s">
        <v>169</v>
      </c>
      <c r="AC22" s="46">
        <f t="shared" si="26"/>
        <v>30</v>
      </c>
      <c r="AD22" s="46">
        <f t="shared" si="27"/>
        <v>85</v>
      </c>
      <c r="AE22" s="46" t="str">
        <f t="shared" si="28"/>
        <v>2</v>
      </c>
      <c r="AF22" s="46" t="s">
        <v>234</v>
      </c>
      <c r="AG22" s="46">
        <v>1</v>
      </c>
      <c r="AH22" s="46" t="s">
        <v>22</v>
      </c>
      <c r="AI22" s="122">
        <v>10</v>
      </c>
      <c r="AJ22" s="78">
        <f t="shared" si="29"/>
        <v>10</v>
      </c>
      <c r="AK22" s="46" t="str">
        <f t="shared" si="30"/>
        <v>Baja</v>
      </c>
      <c r="AL22" s="216"/>
      <c r="AM22" s="216"/>
      <c r="AN22" s="191"/>
      <c r="AO22" s="215"/>
      <c r="AP22" s="216"/>
      <c r="AQ22" s="216"/>
    </row>
    <row r="23" spans="1:43" ht="166.5" customHeight="1" x14ac:dyDescent="0.35">
      <c r="A23" s="74" t="s">
        <v>310</v>
      </c>
      <c r="B23" s="66" t="s">
        <v>311</v>
      </c>
      <c r="C23" s="67" t="s">
        <v>400</v>
      </c>
      <c r="D23" s="66" t="s">
        <v>312</v>
      </c>
      <c r="E23" s="106" t="s">
        <v>313</v>
      </c>
      <c r="F23" s="46" t="s">
        <v>234</v>
      </c>
      <c r="G23" s="83">
        <v>1</v>
      </c>
      <c r="H23" s="46" t="s">
        <v>22</v>
      </c>
      <c r="I23" s="79">
        <v>10</v>
      </c>
      <c r="J23" s="46">
        <f t="shared" si="0"/>
        <v>10</v>
      </c>
      <c r="K23" s="46" t="str">
        <f t="shared" si="1"/>
        <v>Baja</v>
      </c>
      <c r="L23" s="91" t="s">
        <v>320</v>
      </c>
      <c r="M23" s="67" t="s">
        <v>323</v>
      </c>
      <c r="N23" s="75" t="s">
        <v>401</v>
      </c>
      <c r="O23" s="70" t="s">
        <v>402</v>
      </c>
      <c r="P23" s="46" t="s">
        <v>169</v>
      </c>
      <c r="Q23" s="46">
        <f t="shared" si="3"/>
        <v>15</v>
      </c>
      <c r="R23" s="46" t="s">
        <v>169</v>
      </c>
      <c r="S23" s="46">
        <f t="shared" si="4"/>
        <v>5</v>
      </c>
      <c r="T23" s="46" t="s">
        <v>170</v>
      </c>
      <c r="U23" s="46">
        <f t="shared" si="5"/>
        <v>0</v>
      </c>
      <c r="V23" s="46" t="s">
        <v>169</v>
      </c>
      <c r="W23" s="46">
        <f t="shared" si="6"/>
        <v>10</v>
      </c>
      <c r="X23" s="46" t="s">
        <v>169</v>
      </c>
      <c r="Y23" s="89">
        <f t="shared" ref="Y23:Y28" si="33">IF(X23=$AZ$3,15,(IF(X23=$AW$3,0,0)))</f>
        <v>15</v>
      </c>
      <c r="Z23" s="46" t="s">
        <v>169</v>
      </c>
      <c r="AA23" s="89">
        <f t="shared" ref="AA23:AA25" si="34">IF(Z23=$AZ$3,10,(IF(Z23=$AW$3,0,0)))</f>
        <v>10</v>
      </c>
      <c r="AB23" s="46" t="s">
        <v>169</v>
      </c>
      <c r="AC23" s="89">
        <f t="shared" ref="AC23:AC25" si="35">IF(AB23=$AZ$3,30,(IF(AB23=$AW$3,0,0)))</f>
        <v>30</v>
      </c>
      <c r="AD23" s="89">
        <f t="shared" ref="AD23" si="36">+Q23+S23+U23+W23+Y23+AA23+AC23</f>
        <v>85</v>
      </c>
      <c r="AE23" s="89" t="str">
        <f t="shared" ref="AE23" si="37">IF(AD23&lt;=50,"0",IF(AD23&lt;=75,"1",IF(AD23&lt;=100,"2","")))</f>
        <v>2</v>
      </c>
      <c r="AF23" s="46" t="s">
        <v>234</v>
      </c>
      <c r="AG23" s="46">
        <v>1</v>
      </c>
      <c r="AH23" s="46" t="s">
        <v>22</v>
      </c>
      <c r="AI23" s="46">
        <v>10</v>
      </c>
      <c r="AJ23" s="78">
        <f t="shared" ref="AJ23:AJ25" si="38">+AG23*AI23</f>
        <v>10</v>
      </c>
      <c r="AK23" s="46" t="str">
        <f t="shared" ref="AK23:AK25" si="39">IF(AJ23&lt;=0,"",IF(AJ23&lt;=10,"Baja",IF(AJ23&lt;=25,"Moderada",IF(AJ23&lt;=50,"Alta",IF(AJ23&lt;=100,"Extrema","Extrema")))))</f>
        <v>Baja</v>
      </c>
      <c r="AL23" s="66" t="s">
        <v>328</v>
      </c>
      <c r="AM23" s="67" t="s">
        <v>432</v>
      </c>
      <c r="AN23" s="92">
        <v>45603</v>
      </c>
      <c r="AO23" s="81"/>
      <c r="AP23" s="66"/>
      <c r="AQ23" s="67"/>
    </row>
    <row r="24" spans="1:43" ht="201.5" customHeight="1" x14ac:dyDescent="0.35">
      <c r="A24" s="74" t="s">
        <v>314</v>
      </c>
      <c r="B24" s="66" t="s">
        <v>345</v>
      </c>
      <c r="C24" s="70" t="s">
        <v>403</v>
      </c>
      <c r="D24" s="107" t="s">
        <v>359</v>
      </c>
      <c r="E24" s="111" t="s">
        <v>360</v>
      </c>
      <c r="F24" s="46" t="s">
        <v>221</v>
      </c>
      <c r="G24" s="82">
        <v>2</v>
      </c>
      <c r="H24" s="46" t="s">
        <v>22</v>
      </c>
      <c r="I24" s="79">
        <v>10</v>
      </c>
      <c r="J24" s="78">
        <f t="shared" si="0"/>
        <v>20</v>
      </c>
      <c r="K24" s="46" t="str">
        <f t="shared" si="1"/>
        <v>Moderada</v>
      </c>
      <c r="L24" s="110" t="s">
        <v>361</v>
      </c>
      <c r="M24" s="107" t="s">
        <v>324</v>
      </c>
      <c r="N24" s="107" t="s">
        <v>362</v>
      </c>
      <c r="O24" s="107" t="s">
        <v>363</v>
      </c>
      <c r="P24" s="46" t="s">
        <v>170</v>
      </c>
      <c r="Q24" s="46">
        <f t="shared" si="3"/>
        <v>0</v>
      </c>
      <c r="R24" s="46" t="s">
        <v>169</v>
      </c>
      <c r="S24" s="46">
        <f t="shared" si="4"/>
        <v>5</v>
      </c>
      <c r="T24" s="46" t="s">
        <v>170</v>
      </c>
      <c r="U24" s="46">
        <f t="shared" si="5"/>
        <v>0</v>
      </c>
      <c r="V24" s="46" t="s">
        <v>169</v>
      </c>
      <c r="W24" s="46">
        <f t="shared" si="6"/>
        <v>10</v>
      </c>
      <c r="X24" s="46" t="s">
        <v>169</v>
      </c>
      <c r="Y24" s="89">
        <f t="shared" si="33"/>
        <v>15</v>
      </c>
      <c r="Z24" s="46" t="s">
        <v>169</v>
      </c>
      <c r="AA24" s="89">
        <f t="shared" si="34"/>
        <v>10</v>
      </c>
      <c r="AB24" s="46" t="s">
        <v>169</v>
      </c>
      <c r="AC24" s="89">
        <f t="shared" si="35"/>
        <v>30</v>
      </c>
      <c r="AD24" s="46">
        <f t="shared" ref="AD24" si="40">+Q24+S24+U24+W24+Y24+AA24+AC24</f>
        <v>70</v>
      </c>
      <c r="AE24" s="89" t="str">
        <f t="shared" ref="AE24" si="41">IF(AD24&lt;=50,"0",IF(AD24&lt;=75,"1",IF(AD24&lt;=100,"2","")))</f>
        <v>1</v>
      </c>
      <c r="AF24" s="46" t="s">
        <v>234</v>
      </c>
      <c r="AG24" s="46">
        <v>1</v>
      </c>
      <c r="AH24" s="46" t="s">
        <v>22</v>
      </c>
      <c r="AI24" s="46">
        <v>10</v>
      </c>
      <c r="AJ24" s="78">
        <f t="shared" si="38"/>
        <v>10</v>
      </c>
      <c r="AK24" s="46" t="str">
        <f t="shared" si="39"/>
        <v>Baja</v>
      </c>
      <c r="AL24" s="107" t="s">
        <v>364</v>
      </c>
      <c r="AM24" s="107" t="s">
        <v>365</v>
      </c>
      <c r="AN24" s="92">
        <v>45488</v>
      </c>
      <c r="AO24" s="71"/>
      <c r="AP24" s="107"/>
      <c r="AQ24" s="107"/>
    </row>
    <row r="25" spans="1:43" ht="173.5" customHeight="1" x14ac:dyDescent="0.35">
      <c r="A25" s="74" t="s">
        <v>315</v>
      </c>
      <c r="B25" s="66" t="s">
        <v>373</v>
      </c>
      <c r="C25" s="99" t="s">
        <v>374</v>
      </c>
      <c r="D25" s="87" t="s">
        <v>383</v>
      </c>
      <c r="E25" s="87" t="s">
        <v>376</v>
      </c>
      <c r="F25" s="46" t="s">
        <v>234</v>
      </c>
      <c r="G25" s="83">
        <v>1</v>
      </c>
      <c r="H25" s="46" t="s">
        <v>21</v>
      </c>
      <c r="I25" s="123">
        <v>20</v>
      </c>
      <c r="J25" s="78">
        <f t="shared" si="0"/>
        <v>20</v>
      </c>
      <c r="K25" s="46" t="str">
        <f t="shared" si="1"/>
        <v>Moderada</v>
      </c>
      <c r="L25" s="87" t="s">
        <v>377</v>
      </c>
      <c r="M25" s="87" t="s">
        <v>322</v>
      </c>
      <c r="N25" s="87" t="s">
        <v>377</v>
      </c>
      <c r="O25" s="87" t="s">
        <v>375</v>
      </c>
      <c r="P25" s="46" t="s">
        <v>169</v>
      </c>
      <c r="Q25" s="46">
        <f t="shared" si="3"/>
        <v>15</v>
      </c>
      <c r="R25" s="46" t="s">
        <v>169</v>
      </c>
      <c r="S25" s="46">
        <f t="shared" si="4"/>
        <v>5</v>
      </c>
      <c r="T25" s="46" t="s">
        <v>170</v>
      </c>
      <c r="U25" s="46">
        <f t="shared" si="5"/>
        <v>0</v>
      </c>
      <c r="V25" s="46" t="s">
        <v>169</v>
      </c>
      <c r="W25" s="46">
        <f t="shared" si="6"/>
        <v>10</v>
      </c>
      <c r="X25" s="46" t="s">
        <v>169</v>
      </c>
      <c r="Y25" s="46">
        <f t="shared" si="33"/>
        <v>15</v>
      </c>
      <c r="Z25" s="46" t="s">
        <v>169</v>
      </c>
      <c r="AA25" s="89">
        <f t="shared" si="34"/>
        <v>10</v>
      </c>
      <c r="AB25" s="46" t="s">
        <v>169</v>
      </c>
      <c r="AC25" s="89">
        <f t="shared" si="35"/>
        <v>30</v>
      </c>
      <c r="AD25" s="46">
        <f t="shared" ref="AD25" si="42">+Q25+S25+U25+W25+Y25+AA25+AC25</f>
        <v>85</v>
      </c>
      <c r="AE25" s="89" t="str">
        <f t="shared" ref="AE25" si="43">IF(AD25&lt;=50,"0",IF(AD25&lt;=75,"1",IF(AD25&lt;=100,"2","")))</f>
        <v>2</v>
      </c>
      <c r="AF25" s="46" t="s">
        <v>234</v>
      </c>
      <c r="AG25" s="46">
        <v>1</v>
      </c>
      <c r="AH25" s="46" t="s">
        <v>21</v>
      </c>
      <c r="AI25" s="101">
        <v>18</v>
      </c>
      <c r="AJ25" s="78">
        <f t="shared" si="38"/>
        <v>18</v>
      </c>
      <c r="AK25" s="46" t="str">
        <f t="shared" si="39"/>
        <v>Moderada</v>
      </c>
      <c r="AL25" s="102" t="s">
        <v>378</v>
      </c>
      <c r="AM25" s="102" t="s">
        <v>379</v>
      </c>
      <c r="AN25" s="92">
        <v>45576</v>
      </c>
      <c r="AO25" s="100"/>
      <c r="AP25" s="102"/>
      <c r="AQ25" s="102"/>
    </row>
    <row r="26" spans="1:43" ht="409.5" x14ac:dyDescent="0.35">
      <c r="A26" s="74" t="s">
        <v>316</v>
      </c>
      <c r="B26" s="66" t="s">
        <v>340</v>
      </c>
      <c r="C26" s="70" t="s">
        <v>341</v>
      </c>
      <c r="D26" s="76" t="s">
        <v>342</v>
      </c>
      <c r="E26" s="77" t="s">
        <v>343</v>
      </c>
      <c r="F26" s="46" t="s">
        <v>234</v>
      </c>
      <c r="G26" s="78">
        <v>1</v>
      </c>
      <c r="H26" s="46" t="s">
        <v>22</v>
      </c>
      <c r="I26" s="79">
        <v>10</v>
      </c>
      <c r="J26" s="46">
        <f t="shared" si="0"/>
        <v>10</v>
      </c>
      <c r="K26" s="46" t="str">
        <f t="shared" si="1"/>
        <v>Baja</v>
      </c>
      <c r="L26" s="80" t="s">
        <v>446</v>
      </c>
      <c r="M26" s="76" t="s">
        <v>344</v>
      </c>
      <c r="N26" s="76" t="s">
        <v>325</v>
      </c>
      <c r="O26" s="76" t="s">
        <v>346</v>
      </c>
      <c r="P26" s="46" t="s">
        <v>169</v>
      </c>
      <c r="Q26" s="46">
        <f>IF(P26=$AZ$3,15,(IF(P26=$AW$3,0,0)))</f>
        <v>15</v>
      </c>
      <c r="R26" s="46" t="s">
        <v>169</v>
      </c>
      <c r="S26" s="46">
        <f>IF(R26=$AZ$3,5,(IF(R26=$AW$3,0,0)))</f>
        <v>5</v>
      </c>
      <c r="T26" s="46" t="s">
        <v>170</v>
      </c>
      <c r="U26" s="46">
        <f>IF(T26=$AZ$3,15,(IF(T26=$AW$3,0,0)))</f>
        <v>0</v>
      </c>
      <c r="V26" s="46" t="s">
        <v>169</v>
      </c>
      <c r="W26" s="46">
        <f>IF(V26=$AZ$3,10,(IF(V26=$AW$3,0,0)))</f>
        <v>10</v>
      </c>
      <c r="X26" s="46" t="s">
        <v>169</v>
      </c>
      <c r="Y26" s="46">
        <f t="shared" si="33"/>
        <v>15</v>
      </c>
      <c r="Z26" s="46" t="s">
        <v>170</v>
      </c>
      <c r="AA26" s="46">
        <f>IF(Z26=$AZ$3,10,(IF(Z26=$AW$3,0,0)))</f>
        <v>0</v>
      </c>
      <c r="AB26" s="46" t="s">
        <v>170</v>
      </c>
      <c r="AC26" s="46">
        <f>IF(AB26=$AZ$3,30,(IF(AB26=$AW$3,0,0)))</f>
        <v>0</v>
      </c>
      <c r="AD26" s="46">
        <f>+Q26+S26+U26+W26+Y26+AA26+AC26</f>
        <v>45</v>
      </c>
      <c r="AE26" s="46" t="str">
        <f>IF(AD26&lt;=50,"0",IF(AD26&lt;=75,"1",IF(AD26&lt;=100,"2","")))</f>
        <v>0</v>
      </c>
      <c r="AF26" s="46" t="s">
        <v>234</v>
      </c>
      <c r="AG26" s="46">
        <f t="shared" ref="AG26" si="44">IF(AF26=$AV$2,5,(IF(AF26=$AV$3,4,IF(AF26=$AV$4,3,(IF(AF26=$AV$5,2,1))))))</f>
        <v>1</v>
      </c>
      <c r="AH26" s="46" t="s">
        <v>2</v>
      </c>
      <c r="AI26" s="46">
        <f t="shared" ref="AI26" si="45">IF(AH26=$AW$2,20,(IF(AH26=$AW$3,10,5)))</f>
        <v>5</v>
      </c>
      <c r="AJ26" s="46">
        <f t="shared" ref="AJ26:AJ27" si="46">+AG26*AI26</f>
        <v>5</v>
      </c>
      <c r="AK26" s="46" t="str">
        <f t="shared" ref="AK26:AK27" si="47">IF(AJ26&lt;=0,"",IF(AJ26&lt;=10,"Baja",IF(AJ26&lt;=25,"Moderada",IF(AJ26&lt;=50,"Alta",IF(AJ26&lt;=100,"Extrema","Extrema")))))</f>
        <v>Baja</v>
      </c>
      <c r="AL26" s="76" t="s">
        <v>447</v>
      </c>
      <c r="AM26" s="76" t="s">
        <v>348</v>
      </c>
      <c r="AN26" s="92">
        <v>45567</v>
      </c>
      <c r="AO26" s="81"/>
      <c r="AP26" s="76"/>
      <c r="AQ26" s="76"/>
    </row>
    <row r="27" spans="1:43" ht="125" customHeight="1" x14ac:dyDescent="0.35">
      <c r="A27" s="186" t="s">
        <v>317</v>
      </c>
      <c r="B27" s="188" t="s">
        <v>318</v>
      </c>
      <c r="C27" s="124" t="s">
        <v>391</v>
      </c>
      <c r="D27" s="114" t="s">
        <v>404</v>
      </c>
      <c r="E27" s="125" t="s">
        <v>384</v>
      </c>
      <c r="F27" s="46" t="s">
        <v>234</v>
      </c>
      <c r="G27" s="83">
        <v>1</v>
      </c>
      <c r="H27" s="46" t="s">
        <v>22</v>
      </c>
      <c r="I27" s="79">
        <v>10</v>
      </c>
      <c r="J27" s="46">
        <f t="shared" ref="J27:J28" si="48">+G27*I27</f>
        <v>10</v>
      </c>
      <c r="K27" s="46" t="str">
        <f t="shared" ref="K27:K28" si="49">IF(J27&lt;=0,"",IF(J27&lt;=10,"Baja",IF(J27&lt;=25,"Moderada",IF(J27&lt;=50,"Alta",IF(J27&lt;=100,"Extrema","Extrema")))))</f>
        <v>Baja</v>
      </c>
      <c r="L27" s="115" t="s">
        <v>406</v>
      </c>
      <c r="M27" s="188" t="s">
        <v>293</v>
      </c>
      <c r="N27" s="115" t="s">
        <v>434</v>
      </c>
      <c r="O27" s="115" t="s">
        <v>434</v>
      </c>
      <c r="P27" s="46" t="s">
        <v>170</v>
      </c>
      <c r="Q27" s="46">
        <f t="shared" ref="Q27:Q28" si="50">IF(P27=$AZ$3,15,(IF(P27=$AW$3,0,0)))</f>
        <v>0</v>
      </c>
      <c r="R27" s="46" t="s">
        <v>169</v>
      </c>
      <c r="S27" s="46">
        <f t="shared" ref="S27:S28" si="51">IF(R27=$AZ$3,5,(IF(R27=$AW$3,0,0)))</f>
        <v>5</v>
      </c>
      <c r="T27" s="46" t="s">
        <v>170</v>
      </c>
      <c r="U27" s="46">
        <f t="shared" ref="U27:U28" si="52">IF(T27=$AZ$3,15,(IF(T27=$AW$3,0,0)))</f>
        <v>0</v>
      </c>
      <c r="V27" s="46" t="s">
        <v>169</v>
      </c>
      <c r="W27" s="46">
        <f t="shared" ref="W27:W28" si="53">IF(V27=$AZ$3,10,(IF(V27=$AW$3,0,0)))</f>
        <v>10</v>
      </c>
      <c r="X27" s="46" t="s">
        <v>169</v>
      </c>
      <c r="Y27" s="46">
        <f t="shared" si="33"/>
        <v>15</v>
      </c>
      <c r="Z27" s="46" t="s">
        <v>170</v>
      </c>
      <c r="AA27" s="46">
        <f t="shared" ref="AA27:AA28" si="54">IF(Z27=$AZ$3,10,(IF(Z27=$AW$3,0,0)))</f>
        <v>0</v>
      </c>
      <c r="AB27" s="46" t="s">
        <v>170</v>
      </c>
      <c r="AC27" s="46">
        <f t="shared" ref="AC27:AC28" si="55">IF(AB27=$AZ$3,30,(IF(AB27=$AW$3,0,0)))</f>
        <v>0</v>
      </c>
      <c r="AD27" s="46">
        <f t="shared" ref="AD27:AD28" si="56">+Q27+S27+U27+W27+Y27+AA27+AC27</f>
        <v>30</v>
      </c>
      <c r="AE27" s="46" t="str">
        <f t="shared" ref="AE27:AE28" si="57">IF(AD27&lt;=50,"0",IF(AD27&lt;=75,"1",IF(AD27&lt;=100,"2","")))</f>
        <v>0</v>
      </c>
      <c r="AF27" s="46" t="s">
        <v>234</v>
      </c>
      <c r="AG27" s="46">
        <v>1</v>
      </c>
      <c r="AH27" s="46" t="s">
        <v>22</v>
      </c>
      <c r="AI27" s="46">
        <v>10</v>
      </c>
      <c r="AJ27" s="46">
        <f t="shared" si="46"/>
        <v>10</v>
      </c>
      <c r="AK27" s="46" t="str">
        <f t="shared" si="47"/>
        <v>Baja</v>
      </c>
      <c r="AL27" s="188" t="s">
        <v>412</v>
      </c>
      <c r="AM27" s="114" t="s">
        <v>435</v>
      </c>
      <c r="AN27" s="190">
        <v>45580</v>
      </c>
      <c r="AO27" s="192"/>
      <c r="AP27" s="188"/>
      <c r="AQ27" s="114"/>
    </row>
    <row r="28" spans="1:43" ht="117.5" customHeight="1" x14ac:dyDescent="0.35">
      <c r="A28" s="187"/>
      <c r="B28" s="189"/>
      <c r="C28" s="124" t="s">
        <v>392</v>
      </c>
      <c r="D28" s="118" t="s">
        <v>385</v>
      </c>
      <c r="E28" s="87" t="s">
        <v>390</v>
      </c>
      <c r="F28" s="46" t="s">
        <v>234</v>
      </c>
      <c r="G28" s="83">
        <v>1</v>
      </c>
      <c r="H28" s="46" t="s">
        <v>2</v>
      </c>
      <c r="I28" s="83">
        <v>5</v>
      </c>
      <c r="J28" s="46">
        <f t="shared" si="48"/>
        <v>5</v>
      </c>
      <c r="K28" s="46" t="str">
        <f t="shared" si="49"/>
        <v>Baja</v>
      </c>
      <c r="L28" s="116" t="s">
        <v>386</v>
      </c>
      <c r="M28" s="189"/>
      <c r="N28" s="119" t="s">
        <v>386</v>
      </c>
      <c r="O28" s="116" t="s">
        <v>386</v>
      </c>
      <c r="P28" s="46" t="s">
        <v>169</v>
      </c>
      <c r="Q28" s="46">
        <f t="shared" si="50"/>
        <v>15</v>
      </c>
      <c r="R28" s="46" t="s">
        <v>169</v>
      </c>
      <c r="S28" s="46">
        <f t="shared" si="51"/>
        <v>5</v>
      </c>
      <c r="T28" s="46" t="s">
        <v>169</v>
      </c>
      <c r="U28" s="46">
        <f t="shared" si="52"/>
        <v>15</v>
      </c>
      <c r="V28" s="46" t="s">
        <v>169</v>
      </c>
      <c r="W28" s="46">
        <f t="shared" si="53"/>
        <v>10</v>
      </c>
      <c r="X28" s="46" t="s">
        <v>169</v>
      </c>
      <c r="Y28" s="46">
        <f t="shared" si="33"/>
        <v>15</v>
      </c>
      <c r="Z28" s="46" t="s">
        <v>169</v>
      </c>
      <c r="AA28" s="46">
        <f t="shared" si="54"/>
        <v>10</v>
      </c>
      <c r="AB28" s="46" t="s">
        <v>169</v>
      </c>
      <c r="AC28" s="46">
        <f t="shared" si="55"/>
        <v>30</v>
      </c>
      <c r="AD28" s="46">
        <f t="shared" si="56"/>
        <v>100</v>
      </c>
      <c r="AE28" s="46" t="str">
        <f t="shared" si="57"/>
        <v>2</v>
      </c>
      <c r="AF28" s="46" t="s">
        <v>234</v>
      </c>
      <c r="AG28" s="46">
        <v>1</v>
      </c>
      <c r="AH28" s="46" t="s">
        <v>2</v>
      </c>
      <c r="AI28" s="46">
        <v>5</v>
      </c>
      <c r="AJ28" s="46">
        <f t="shared" ref="AJ28" si="58">+AG28*AI28</f>
        <v>5</v>
      </c>
      <c r="AK28" s="46" t="str">
        <f t="shared" ref="AK28" si="59">IF(AJ28&lt;=0,"",IF(AJ28&lt;=10,"Baja",IF(AJ28&lt;=25,"Moderada",IF(AJ28&lt;=50,"Alta",IF(AJ28&lt;=100,"Extrema","Extrema")))))</f>
        <v>Baja</v>
      </c>
      <c r="AL28" s="189"/>
      <c r="AM28" s="116" t="s">
        <v>436</v>
      </c>
      <c r="AN28" s="191"/>
      <c r="AO28" s="193"/>
      <c r="AP28" s="189"/>
      <c r="AQ28" s="113"/>
    </row>
    <row r="29" spans="1:43" ht="48.5" customHeight="1" x14ac:dyDescent="0.35">
      <c r="AM29" s="144"/>
    </row>
  </sheetData>
  <mergeCells count="65">
    <mergeCell ref="AL4:AM5"/>
    <mergeCell ref="AQ6:AQ7"/>
    <mergeCell ref="AM6:AM7"/>
    <mergeCell ref="AL6:AL7"/>
    <mergeCell ref="AP19:AP22"/>
    <mergeCell ref="AQ19:AQ22"/>
    <mergeCell ref="R7:S7"/>
    <mergeCell ref="T7:U7"/>
    <mergeCell ref="V7:W7"/>
    <mergeCell ref="X7:Y7"/>
    <mergeCell ref="AL14:AL15"/>
    <mergeCell ref="AP2:AQ2"/>
    <mergeCell ref="AP3:AQ3"/>
    <mergeCell ref="AP1:AQ1"/>
    <mergeCell ref="A14:A15"/>
    <mergeCell ref="B14:B15"/>
    <mergeCell ref="AP14:AP15"/>
    <mergeCell ref="L5:AK5"/>
    <mergeCell ref="AN6:AN7"/>
    <mergeCell ref="AO6:AO7"/>
    <mergeCell ref="AP6:AP7"/>
    <mergeCell ref="A4:E4"/>
    <mergeCell ref="F4:AK4"/>
    <mergeCell ref="AN4:AQ5"/>
    <mergeCell ref="A5:A7"/>
    <mergeCell ref="B5:B7"/>
    <mergeCell ref="C5:C7"/>
    <mergeCell ref="F6:K6"/>
    <mergeCell ref="B1:AO1"/>
    <mergeCell ref="B2:AO2"/>
    <mergeCell ref="B3:AO3"/>
    <mergeCell ref="A1:A3"/>
    <mergeCell ref="D5:D7"/>
    <mergeCell ref="E5:E7"/>
    <mergeCell ref="F5:K5"/>
    <mergeCell ref="L6:L7"/>
    <mergeCell ref="M6:O6"/>
    <mergeCell ref="Z7:AA7"/>
    <mergeCell ref="P6:AC6"/>
    <mergeCell ref="AD6:AK6"/>
    <mergeCell ref="AB7:AC7"/>
    <mergeCell ref="AD7:AE7"/>
    <mergeCell ref="P7:Q7"/>
    <mergeCell ref="A9:A12"/>
    <mergeCell ref="B9:B12"/>
    <mergeCell ref="C9:C10"/>
    <mergeCell ref="A18:A22"/>
    <mergeCell ref="AO9:AO12"/>
    <mergeCell ref="B18:B22"/>
    <mergeCell ref="E19:E22"/>
    <mergeCell ref="L19:L22"/>
    <mergeCell ref="M19:M22"/>
    <mergeCell ref="N19:N22"/>
    <mergeCell ref="O19:O22"/>
    <mergeCell ref="AN19:AN22"/>
    <mergeCell ref="AO19:AO22"/>
    <mergeCell ref="AM19:AM22"/>
    <mergeCell ref="AL19:AL22"/>
    <mergeCell ref="A27:A28"/>
    <mergeCell ref="B27:B28"/>
    <mergeCell ref="M27:M28"/>
    <mergeCell ref="AP27:AP28"/>
    <mergeCell ref="AN27:AN28"/>
    <mergeCell ref="AO27:AO28"/>
    <mergeCell ref="AL27:AL28"/>
  </mergeCells>
  <conditionalFormatting sqref="F9:F28 AF9:AF28">
    <cfRule type="containsText" dxfId="40" priority="43" operator="containsText" text="Improbable">
      <formula>NOT(ISERROR(SEARCH("Improbable",F9)))</formula>
    </cfRule>
    <cfRule type="containsText" dxfId="39" priority="44" operator="containsText" text="Casi seguro">
      <formula>NOT(ISERROR(SEARCH("Casi seguro",F9)))</formula>
    </cfRule>
    <cfRule type="containsText" dxfId="38" priority="45" operator="containsText" text="Probable">
      <formula>NOT(ISERROR(SEARCH("Probable",F9)))</formula>
    </cfRule>
    <cfRule type="containsText" dxfId="37" priority="46" operator="containsText" text="Posible">
      <formula>NOT(ISERROR(SEARCH("Posible",F9)))</formula>
    </cfRule>
    <cfRule type="containsText" dxfId="36" priority="47" operator="containsText" text="Rara vez">
      <formula>NOT(ISERROR(SEARCH("Rara vez",F9)))</formula>
    </cfRule>
  </conditionalFormatting>
  <conditionalFormatting sqref="G9:G10 AG9:AG28">
    <cfRule type="containsText" dxfId="35" priority="55" operator="containsText" text="1">
      <formula>NOT(ISERROR(SEARCH("1",G9)))</formula>
    </cfRule>
    <cfRule type="containsText" dxfId="34" priority="54" operator="containsText" text="2">
      <formula>NOT(ISERROR(SEARCH("2",G9)))</formula>
    </cfRule>
    <cfRule type="containsText" dxfId="33" priority="53" operator="containsText" text="3">
      <formula>NOT(ISERROR(SEARCH("3",G9)))</formula>
    </cfRule>
    <cfRule type="containsText" dxfId="32" priority="52" operator="containsText" text="4">
      <formula>NOT(ISERROR(SEARCH("4",G9)))</formula>
    </cfRule>
    <cfRule type="containsText" dxfId="31" priority="51" operator="containsText" text="5">
      <formula>NOT(ISERROR(SEARCH("5",G9)))</formula>
    </cfRule>
  </conditionalFormatting>
  <conditionalFormatting sqref="G26">
    <cfRule type="containsText" dxfId="30" priority="14" operator="containsText" text="Improbable">
      <formula>NOT(ISERROR(SEARCH("Improbable",G26)))</formula>
    </cfRule>
    <cfRule type="containsText" dxfId="29" priority="15" operator="containsText" text="Casi seguro">
      <formula>NOT(ISERROR(SEARCH("Casi seguro",G26)))</formula>
    </cfRule>
    <cfRule type="containsText" dxfId="28" priority="16" operator="containsText" text="Probable">
      <formula>NOT(ISERROR(SEARCH("Probable",G26)))</formula>
    </cfRule>
    <cfRule type="containsText" dxfId="27" priority="17" operator="containsText" text="Posible">
      <formula>NOT(ISERROR(SEARCH("Posible",G26)))</formula>
    </cfRule>
    <cfRule type="containsText" dxfId="26" priority="18" operator="containsText" text="Rara vez">
      <formula>NOT(ISERROR(SEARCH("Rara vez",G26)))</formula>
    </cfRule>
  </conditionalFormatting>
  <conditionalFormatting sqref="H9:H28 AH9:AH28">
    <cfRule type="containsText" dxfId="25" priority="48" operator="containsText" text="Catastrófico">
      <formula>NOT(ISERROR(SEARCH("Catastrófico",H9)))</formula>
    </cfRule>
    <cfRule type="containsText" dxfId="24" priority="50" operator="containsText" text="Mayor">
      <formula>NOT(ISERROR(SEARCH("Mayor",H9)))</formula>
    </cfRule>
    <cfRule type="containsText" dxfId="23" priority="49" operator="containsText" text="Moderado">
      <formula>NOT(ISERROR(SEARCH("Moderado",H9)))</formula>
    </cfRule>
  </conditionalFormatting>
  <conditionalFormatting sqref="I9:I10 AI9:AI28">
    <cfRule type="containsText" dxfId="22" priority="66" operator="containsText" text="10">
      <formula>NOT(ISERROR(SEARCH("10",I9)))</formula>
    </cfRule>
    <cfRule type="containsText" dxfId="21" priority="64" operator="containsText" text="20">
      <formula>NOT(ISERROR(SEARCH("20",I9)))</formula>
    </cfRule>
    <cfRule type="containsText" dxfId="20" priority="65" operator="containsText" text="5">
      <formula>NOT(ISERROR(SEARCH("5",I9)))</formula>
    </cfRule>
  </conditionalFormatting>
  <conditionalFormatting sqref="J9:J28 AJ9:AJ28">
    <cfRule type="cellIs" dxfId="19" priority="56" operator="between">
      <formula>60</formula>
      <formula>100</formula>
    </cfRule>
    <cfRule type="cellIs" dxfId="18" priority="57" operator="between">
      <formula>30</formula>
      <formula>50</formula>
    </cfRule>
    <cfRule type="cellIs" dxfId="17" priority="58" operator="between">
      <formula>15</formula>
      <formula>25</formula>
    </cfRule>
    <cfRule type="cellIs" dxfId="16" priority="59" operator="between">
      <formula>5</formula>
      <formula>10</formula>
    </cfRule>
  </conditionalFormatting>
  <conditionalFormatting sqref="K9:K28 P9:AE28 AK9:AK28">
    <cfRule type="containsText" dxfId="15" priority="20" operator="containsText" text="Alta">
      <formula>NOT(ISERROR(SEARCH("Alta",K9)))</formula>
    </cfRule>
    <cfRule type="containsText" dxfId="14" priority="19" operator="containsText" text="Extrema">
      <formula>NOT(ISERROR(SEARCH("Extrema",K9)))</formula>
    </cfRule>
    <cfRule type="containsText" dxfId="13" priority="22" operator="containsText" text="Baja">
      <formula>NOT(ISERROR(SEARCH("Baja",K9)))</formula>
    </cfRule>
    <cfRule type="containsText" dxfId="12" priority="21" operator="containsText" text="Moderada">
      <formula>NOT(ISERROR(SEARCH("Moderada",K9)))</formula>
    </cfRule>
  </conditionalFormatting>
  <conditionalFormatting sqref="AN10:AN12">
    <cfRule type="containsText" dxfId="11" priority="9" operator="containsText" text="Baja">
      <formula>NOT(ISERROR(SEARCH("Baja",AN10)))</formula>
    </cfRule>
    <cfRule type="containsText" dxfId="10" priority="8" operator="containsText" text="Moderada">
      <formula>NOT(ISERROR(SEARCH("Moderada",AN10)))</formula>
    </cfRule>
    <cfRule type="containsText" dxfId="9" priority="7" operator="containsText" text="Alta">
      <formula>NOT(ISERROR(SEARCH("Alta",AN10)))</formula>
    </cfRule>
    <cfRule type="containsText" dxfId="8" priority="6" operator="containsText" text="Extrema">
      <formula>NOT(ISERROR(SEARCH("Extrema",AN10)))</formula>
    </cfRule>
  </conditionalFormatting>
  <conditionalFormatting sqref="AN9:AO9">
    <cfRule type="containsText" dxfId="7" priority="60" operator="containsText" text="Extrema">
      <formula>NOT(ISERROR(SEARCH("Extrema",AN9)))</formula>
    </cfRule>
    <cfRule type="containsText" dxfId="6" priority="61" operator="containsText" text="Alta">
      <formula>NOT(ISERROR(SEARCH("Alta",AN9)))</formula>
    </cfRule>
    <cfRule type="containsText" dxfId="5" priority="62" operator="containsText" text="Moderada">
      <formula>NOT(ISERROR(SEARCH("Moderada",AN9)))</formula>
    </cfRule>
    <cfRule type="containsText" dxfId="4" priority="63" operator="containsText" text="Baja">
      <formula>NOT(ISERROR(SEARCH("Baja",AN9)))</formula>
    </cfRule>
  </conditionalFormatting>
  <dataValidations count="1">
    <dataValidation type="list" allowBlank="1" showInputMessage="1" showErrorMessage="1" sqref="Z9:Z28 V9:V28 X9:X28 T9:T28 R9:R28 P9:P28 AB9:AB28" xr:uid="{A9382CA6-F2BB-4717-A1C3-578F1A1DDB01}">
      <formula1>$AZ$3:$AZ$4</formula1>
    </dataValidation>
  </dataValidations>
  <pageMargins left="0.7" right="0.7" top="0.75" bottom="0.75" header="0.3" footer="0.3"/>
  <pageSetup orientation="portrait" horizontalDpi="4294967294" verticalDpi="4294967294"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F70031D-4FDF-4BC2-A5F4-411650B0C184}">
          <x14:formula1>
            <xm:f>'Mapa Inherente RC'!$B$6:$B$10</xm:f>
          </x14:formula1>
          <xm:sqref>F9:F28 AF9:AF28</xm:sqref>
        </x14:dataValidation>
        <x14:dataValidation type="list" allowBlank="1" showInputMessage="1" showErrorMessage="1" xr:uid="{0F47BEE2-31DF-4B6C-AB7F-649EC55D7CF4}">
          <x14:formula1>
            <xm:f>'Mapa Inherente RC'!$D$12:$F$12</xm:f>
          </x14:formula1>
          <xm:sqref>H9:H28 AH9:AH28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B6E3A-5EB4-4A7F-A420-0F50C0D25D41}">
  <dimension ref="A1:A21"/>
  <sheetViews>
    <sheetView topLeftCell="A4" zoomScale="69" zoomScaleNormal="69" zoomScaleSheetLayoutView="32" workbookViewId="0">
      <selection activeCell="A3" sqref="A3"/>
    </sheetView>
  </sheetViews>
  <sheetFormatPr baseColWidth="10" defaultRowHeight="13.5" x14ac:dyDescent="0.25"/>
  <cols>
    <col min="1" max="1" width="153.58203125" customWidth="1"/>
  </cols>
  <sheetData>
    <row r="1" spans="1:1" ht="19.5" x14ac:dyDescent="0.35">
      <c r="A1" s="57" t="s">
        <v>265</v>
      </c>
    </row>
    <row r="3" spans="1:1" ht="278.5" customHeight="1" x14ac:dyDescent="0.25">
      <c r="A3" s="56" t="s">
        <v>266</v>
      </c>
    </row>
    <row r="5" spans="1:1" ht="19.5" x14ac:dyDescent="0.35">
      <c r="A5" s="57" t="s">
        <v>267</v>
      </c>
    </row>
    <row r="6" spans="1:1" ht="95" customHeight="1" x14ac:dyDescent="0.25">
      <c r="A6" s="8" t="s">
        <v>268</v>
      </c>
    </row>
    <row r="7" spans="1:1" ht="222" customHeight="1" x14ac:dyDescent="0.25"/>
    <row r="8" spans="1:1" ht="114" customHeight="1" x14ac:dyDescent="0.25"/>
    <row r="9" spans="1:1" ht="409.6" customHeight="1" x14ac:dyDescent="0.25">
      <c r="A9" s="58" t="s">
        <v>269</v>
      </c>
    </row>
    <row r="10" spans="1:1" ht="81" customHeight="1" x14ac:dyDescent="0.25">
      <c r="A10" s="8" t="s">
        <v>270</v>
      </c>
    </row>
    <row r="11" spans="1:1" ht="19.5" x14ac:dyDescent="0.35">
      <c r="A11" s="57" t="s">
        <v>271</v>
      </c>
    </row>
    <row r="12" spans="1:1" ht="71.5" customHeight="1" x14ac:dyDescent="0.25">
      <c r="A12" s="8" t="s">
        <v>272</v>
      </c>
    </row>
    <row r="13" spans="1:1" ht="252.5" customHeight="1" x14ac:dyDescent="0.25"/>
    <row r="14" spans="1:1" ht="409.6" customHeight="1" x14ac:dyDescent="0.25">
      <c r="A14" s="8" t="s">
        <v>273</v>
      </c>
    </row>
    <row r="16" spans="1:1" ht="19.5" x14ac:dyDescent="0.35">
      <c r="A16" s="57" t="s">
        <v>274</v>
      </c>
    </row>
    <row r="17" spans="1:1" ht="319.5" customHeight="1" x14ac:dyDescent="0.25">
      <c r="A17" s="59" t="s">
        <v>275</v>
      </c>
    </row>
    <row r="18" spans="1:1" ht="43.5" customHeight="1" x14ac:dyDescent="0.25">
      <c r="A18" s="60" t="s">
        <v>278</v>
      </c>
    </row>
    <row r="19" spans="1:1" ht="144.5" customHeight="1" x14ac:dyDescent="0.25">
      <c r="A19" s="59" t="s">
        <v>276</v>
      </c>
    </row>
    <row r="20" spans="1:1" ht="385.5" customHeight="1" x14ac:dyDescent="0.25">
      <c r="A20" s="58" t="s">
        <v>277</v>
      </c>
    </row>
    <row r="21" spans="1:1" ht="244.5" customHeight="1" x14ac:dyDescent="0.25">
      <c r="A21" s="61" t="s">
        <v>279</v>
      </c>
    </row>
  </sheetData>
  <pageMargins left="0.7" right="0.7" top="0.75" bottom="0.75" header="0.3" footer="0.3"/>
  <pageSetup scale="38" orientation="portrait" horizontalDpi="1200" verticalDpi="1200" r:id="rId1"/>
  <rowBreaks count="3" manualBreakCount="3">
    <brk id="7" man="1"/>
    <brk id="13" man="1"/>
    <brk id="1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K26"/>
  <sheetViews>
    <sheetView zoomScale="70" zoomScaleNormal="70" workbookViewId="0">
      <selection activeCell="I21" sqref="I21"/>
    </sheetView>
  </sheetViews>
  <sheetFormatPr baseColWidth="10" defaultRowHeight="13.5" x14ac:dyDescent="0.25"/>
  <cols>
    <col min="9" max="9" width="9.25" bestFit="1" customWidth="1"/>
    <col min="10" max="10" width="86.75" customWidth="1"/>
    <col min="11" max="11" width="28.33203125" bestFit="1" customWidth="1"/>
  </cols>
  <sheetData>
    <row r="2" spans="2:11" x14ac:dyDescent="0.25">
      <c r="D2" t="s">
        <v>237</v>
      </c>
      <c r="E2" t="s">
        <v>22</v>
      </c>
      <c r="F2" t="s">
        <v>2</v>
      </c>
    </row>
    <row r="3" spans="2:11" x14ac:dyDescent="0.25">
      <c r="C3" t="s">
        <v>238</v>
      </c>
      <c r="D3">
        <v>3</v>
      </c>
      <c r="E3">
        <v>2</v>
      </c>
      <c r="F3">
        <v>1</v>
      </c>
    </row>
    <row r="4" spans="2:11" x14ac:dyDescent="0.25">
      <c r="B4" t="s">
        <v>233</v>
      </c>
      <c r="C4">
        <v>5</v>
      </c>
      <c r="D4" t="str">
        <f>CONCATENATE($C4,D$3)</f>
        <v>53</v>
      </c>
      <c r="E4" t="str">
        <f t="shared" ref="E4:F8" si="0">CONCATENATE($C4,E$3)</f>
        <v>52</v>
      </c>
      <c r="F4" t="str">
        <f t="shared" si="0"/>
        <v>51</v>
      </c>
    </row>
    <row r="5" spans="2:11" x14ac:dyDescent="0.25">
      <c r="B5" t="s">
        <v>227</v>
      </c>
      <c r="C5">
        <v>4</v>
      </c>
      <c r="D5" t="str">
        <f t="shared" ref="D5:D8" si="1">CONCATENATE($C5,D$3)</f>
        <v>43</v>
      </c>
      <c r="E5" t="str">
        <f t="shared" si="0"/>
        <v>42</v>
      </c>
      <c r="F5" t="str">
        <f t="shared" si="0"/>
        <v>41</v>
      </c>
    </row>
    <row r="6" spans="2:11" x14ac:dyDescent="0.25">
      <c r="B6" t="s">
        <v>224</v>
      </c>
      <c r="C6">
        <v>3</v>
      </c>
      <c r="D6" t="str">
        <f t="shared" si="1"/>
        <v>33</v>
      </c>
      <c r="E6" t="str">
        <f t="shared" si="0"/>
        <v>32</v>
      </c>
      <c r="F6" t="str">
        <f t="shared" si="0"/>
        <v>31</v>
      </c>
    </row>
    <row r="7" spans="2:11" ht="16" x14ac:dyDescent="0.35">
      <c r="B7" t="s">
        <v>221</v>
      </c>
      <c r="C7" s="15">
        <v>2</v>
      </c>
      <c r="D7" t="str">
        <f t="shared" si="1"/>
        <v>23</v>
      </c>
      <c r="E7" t="str">
        <f t="shared" si="0"/>
        <v>22</v>
      </c>
      <c r="F7" t="str">
        <f t="shared" si="0"/>
        <v>21</v>
      </c>
    </row>
    <row r="8" spans="2:11" ht="16.5" thickBot="1" x14ac:dyDescent="0.4">
      <c r="B8" t="s">
        <v>234</v>
      </c>
      <c r="C8" s="15">
        <v>1</v>
      </c>
      <c r="D8" t="str">
        <f t="shared" si="1"/>
        <v>13</v>
      </c>
      <c r="E8" t="str">
        <f t="shared" si="0"/>
        <v>12</v>
      </c>
      <c r="F8" t="str">
        <f t="shared" si="0"/>
        <v>11</v>
      </c>
    </row>
    <row r="9" spans="2:11" ht="14.5" thickTop="1" thickBot="1" x14ac:dyDescent="0.3">
      <c r="I9" s="235" t="s">
        <v>174</v>
      </c>
      <c r="J9" s="236"/>
      <c r="K9" s="237"/>
    </row>
    <row r="10" spans="2:11" ht="14.5" thickTop="1" thickBot="1" x14ac:dyDescent="0.3">
      <c r="I10" s="40" t="s">
        <v>175</v>
      </c>
      <c r="J10" s="41" t="s">
        <v>176</v>
      </c>
      <c r="K10" s="40" t="s">
        <v>143</v>
      </c>
    </row>
    <row r="11" spans="2:11" ht="14.5" thickTop="1" thickBot="1" x14ac:dyDescent="0.3">
      <c r="I11" s="26" t="str">
        <f>F8</f>
        <v>11</v>
      </c>
      <c r="J11" s="42" t="s">
        <v>177</v>
      </c>
      <c r="K11" s="26" t="s">
        <v>178</v>
      </c>
    </row>
    <row r="12" spans="2:11" ht="14.5" thickTop="1" thickBot="1" x14ac:dyDescent="0.3">
      <c r="I12" s="26" t="str">
        <f>+E8</f>
        <v>12</v>
      </c>
      <c r="J12" s="42" t="s">
        <v>177</v>
      </c>
      <c r="K12" s="26" t="s">
        <v>178</v>
      </c>
    </row>
    <row r="13" spans="2:11" ht="14.5" thickTop="1" thickBot="1" x14ac:dyDescent="0.3">
      <c r="I13" s="26" t="str">
        <f>+D8</f>
        <v>13</v>
      </c>
      <c r="J13" s="42" t="s">
        <v>177</v>
      </c>
      <c r="K13" s="26" t="s">
        <v>178</v>
      </c>
    </row>
    <row r="14" spans="2:11" ht="14.5" thickTop="1" thickBot="1" x14ac:dyDescent="0.3">
      <c r="B14" s="26"/>
      <c r="I14" s="26" t="str">
        <f>+F7</f>
        <v>21</v>
      </c>
      <c r="J14" s="42" t="s">
        <v>177</v>
      </c>
      <c r="K14" s="26" t="s">
        <v>178</v>
      </c>
    </row>
    <row r="15" spans="2:11" ht="14.5" thickTop="1" thickBot="1" x14ac:dyDescent="0.3">
      <c r="B15" s="26"/>
      <c r="I15" s="26" t="str">
        <f>+E7</f>
        <v>22</v>
      </c>
      <c r="J15" s="42" t="s">
        <v>179</v>
      </c>
      <c r="K15" s="26" t="s">
        <v>180</v>
      </c>
    </row>
    <row r="16" spans="2:11" ht="14.5" thickTop="1" thickBot="1" x14ac:dyDescent="0.3">
      <c r="B16" s="26"/>
      <c r="I16" s="26" t="str">
        <f>+D7</f>
        <v>23</v>
      </c>
      <c r="J16" s="42" t="s">
        <v>179</v>
      </c>
      <c r="K16" s="26" t="s">
        <v>180</v>
      </c>
    </row>
    <row r="17" spans="2:11" ht="14.5" thickTop="1" thickBot="1" x14ac:dyDescent="0.3">
      <c r="B17" s="26"/>
      <c r="I17" s="26" t="str">
        <f>+F6</f>
        <v>31</v>
      </c>
      <c r="J17" s="42" t="s">
        <v>179</v>
      </c>
      <c r="K17" s="26" t="s">
        <v>180</v>
      </c>
    </row>
    <row r="18" spans="2:11" ht="28" thickTop="1" thickBot="1" x14ac:dyDescent="0.3">
      <c r="I18" s="26" t="str">
        <f>+E6</f>
        <v>32</v>
      </c>
      <c r="J18" s="42" t="s">
        <v>181</v>
      </c>
      <c r="K18" s="26" t="s">
        <v>182</v>
      </c>
    </row>
    <row r="19" spans="2:11" ht="28" thickTop="1" thickBot="1" x14ac:dyDescent="0.3">
      <c r="I19" s="26" t="str">
        <f>+D6</f>
        <v>33</v>
      </c>
      <c r="J19" s="42" t="s">
        <v>181</v>
      </c>
      <c r="K19" s="26" t="s">
        <v>182</v>
      </c>
    </row>
    <row r="20" spans="2:11" ht="28" thickTop="1" thickBot="1" x14ac:dyDescent="0.3">
      <c r="I20" s="26" t="str">
        <f>+F5</f>
        <v>41</v>
      </c>
      <c r="J20" s="42" t="s">
        <v>181</v>
      </c>
      <c r="K20" s="26" t="s">
        <v>182</v>
      </c>
    </row>
    <row r="21" spans="2:11" ht="41.5" thickTop="1" thickBot="1" x14ac:dyDescent="0.3">
      <c r="I21" s="26" t="str">
        <f>+E5</f>
        <v>42</v>
      </c>
      <c r="J21" s="42" t="s">
        <v>183</v>
      </c>
      <c r="K21" s="26" t="s">
        <v>184</v>
      </c>
    </row>
    <row r="22" spans="2:11" ht="41.5" thickTop="1" thickBot="1" x14ac:dyDescent="0.3">
      <c r="I22" s="26" t="str">
        <f>+D5</f>
        <v>43</v>
      </c>
      <c r="J22" s="42" t="s">
        <v>183</v>
      </c>
      <c r="K22" s="26" t="s">
        <v>184</v>
      </c>
    </row>
    <row r="23" spans="2:11" ht="41.5" thickTop="1" thickBot="1" x14ac:dyDescent="0.3">
      <c r="I23" s="26" t="str">
        <f>+F4</f>
        <v>51</v>
      </c>
      <c r="J23" s="42" t="s">
        <v>183</v>
      </c>
      <c r="K23" s="26" t="s">
        <v>184</v>
      </c>
    </row>
    <row r="24" spans="2:11" ht="41.5" thickTop="1" thickBot="1" x14ac:dyDescent="0.3">
      <c r="I24" s="26" t="str">
        <f>+E4</f>
        <v>52</v>
      </c>
      <c r="J24" s="42" t="s">
        <v>183</v>
      </c>
      <c r="K24" s="26" t="s">
        <v>184</v>
      </c>
    </row>
    <row r="25" spans="2:11" ht="41.5" thickTop="1" thickBot="1" x14ac:dyDescent="0.3">
      <c r="I25" s="26" t="str">
        <f>+D4</f>
        <v>53</v>
      </c>
      <c r="J25" s="42" t="s">
        <v>183</v>
      </c>
      <c r="K25" s="26" t="s">
        <v>184</v>
      </c>
    </row>
    <row r="26" spans="2:11" ht="14" thickTop="1" x14ac:dyDescent="0.25"/>
  </sheetData>
  <mergeCells count="1">
    <mergeCell ref="I9:K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57"/>
  <sheetViews>
    <sheetView zoomScale="70" zoomScaleNormal="70" workbookViewId="0">
      <pane ySplit="5" topLeftCell="A6" activePane="bottomLeft" state="frozen"/>
      <selection activeCell="H31" sqref="H31:H32"/>
      <selection pane="bottomLeft" activeCell="B26" sqref="B26"/>
    </sheetView>
  </sheetViews>
  <sheetFormatPr baseColWidth="10" defaultColWidth="0" defaultRowHeight="13.5" zeroHeight="1" x14ac:dyDescent="0.25"/>
  <cols>
    <col min="1" max="1" width="5.33203125" customWidth="1"/>
    <col min="2" max="2" width="27.58203125" style="31" customWidth="1"/>
    <col min="3" max="38" width="10.25" customWidth="1"/>
    <col min="39" max="39" width="9.25" customWidth="1"/>
    <col min="40" max="40" width="9.83203125" customWidth="1"/>
    <col min="41" max="41" width="20.75" customWidth="1"/>
    <col min="42" max="44" width="17.08203125" customWidth="1"/>
    <col min="45" max="45" width="27.58203125" bestFit="1" customWidth="1"/>
    <col min="46" max="46" width="10.25" customWidth="1"/>
    <col min="47" max="47" width="13.25" customWidth="1"/>
    <col min="48" max="48" width="76.25" customWidth="1"/>
    <col min="49" max="49" width="27.58203125" customWidth="1"/>
    <col min="50" max="50" width="10.25" style="20" customWidth="1"/>
    <col min="51" max="16384" width="10.25" hidden="1"/>
  </cols>
  <sheetData>
    <row r="1" spans="1:49" s="20" customFormat="1" ht="14" thickBot="1" x14ac:dyDescent="0.3"/>
    <row r="2" spans="1:49" s="20" customFormat="1" ht="31.5" customHeight="1" thickTop="1" thickBot="1" x14ac:dyDescent="0.35">
      <c r="B2" s="238" t="s">
        <v>134</v>
      </c>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U2" s="239" t="s">
        <v>135</v>
      </c>
      <c r="AV2" s="239"/>
      <c r="AW2" s="239"/>
    </row>
    <row r="3" spans="1:49" s="20" customFormat="1" ht="14.5" thickTop="1" thickBot="1" x14ac:dyDescent="0.3">
      <c r="B3" s="33" t="s">
        <v>136</v>
      </c>
      <c r="C3" s="240">
        <v>1</v>
      </c>
      <c r="D3" s="240"/>
      <c r="E3" s="240">
        <v>2</v>
      </c>
      <c r="F3" s="240"/>
      <c r="G3" s="240">
        <v>3</v>
      </c>
      <c r="H3" s="240"/>
      <c r="I3" s="240">
        <v>4</v>
      </c>
      <c r="J3" s="240"/>
      <c r="K3" s="240">
        <v>5</v>
      </c>
      <c r="L3" s="240"/>
      <c r="M3" s="240">
        <v>6</v>
      </c>
      <c r="N3" s="240"/>
      <c r="O3" s="240">
        <v>7</v>
      </c>
      <c r="P3" s="240"/>
      <c r="Q3" s="240">
        <v>8</v>
      </c>
      <c r="R3" s="240"/>
      <c r="S3" s="240">
        <v>9</v>
      </c>
      <c r="T3" s="240"/>
      <c r="U3" s="240">
        <v>10</v>
      </c>
      <c r="V3" s="240"/>
      <c r="W3" s="240">
        <v>11</v>
      </c>
      <c r="X3" s="240"/>
      <c r="Y3" s="240">
        <v>12</v>
      </c>
      <c r="Z3" s="240"/>
      <c r="AA3" s="240">
        <v>13</v>
      </c>
      <c r="AB3" s="240"/>
      <c r="AC3" s="240">
        <v>14</v>
      </c>
      <c r="AD3" s="240"/>
      <c r="AE3" s="240">
        <v>15</v>
      </c>
      <c r="AF3" s="240"/>
      <c r="AG3" s="240">
        <v>16</v>
      </c>
      <c r="AH3" s="240"/>
      <c r="AI3" s="240">
        <v>17</v>
      </c>
      <c r="AJ3" s="240"/>
      <c r="AK3" s="240">
        <v>18</v>
      </c>
      <c r="AL3" s="240"/>
      <c r="AM3" s="243" t="s">
        <v>137</v>
      </c>
      <c r="AN3" s="243" t="s">
        <v>138</v>
      </c>
      <c r="AO3" s="242" t="s">
        <v>139</v>
      </c>
      <c r="AP3" s="242" t="s">
        <v>140</v>
      </c>
      <c r="AQ3" s="242" t="s">
        <v>141</v>
      </c>
      <c r="AR3" s="242" t="s">
        <v>142</v>
      </c>
      <c r="AS3" s="243" t="s">
        <v>143</v>
      </c>
      <c r="AU3" s="29" t="s">
        <v>144</v>
      </c>
      <c r="AV3" s="29" t="s">
        <v>145</v>
      </c>
      <c r="AW3" s="29" t="s">
        <v>146</v>
      </c>
    </row>
    <row r="4" spans="1:49" s="20" customFormat="1" ht="82.5" customHeight="1" thickTop="1" thickBot="1" x14ac:dyDescent="0.3">
      <c r="B4" s="34" t="s">
        <v>147</v>
      </c>
      <c r="C4" s="241" t="s">
        <v>148</v>
      </c>
      <c r="D4" s="241"/>
      <c r="E4" s="241" t="s">
        <v>149</v>
      </c>
      <c r="F4" s="241"/>
      <c r="G4" s="241" t="s">
        <v>150</v>
      </c>
      <c r="H4" s="241"/>
      <c r="I4" s="241" t="s">
        <v>151</v>
      </c>
      <c r="J4" s="241"/>
      <c r="K4" s="241" t="s">
        <v>152</v>
      </c>
      <c r="L4" s="241"/>
      <c r="M4" s="241" t="s">
        <v>153</v>
      </c>
      <c r="N4" s="241"/>
      <c r="O4" s="241" t="s">
        <v>154</v>
      </c>
      <c r="P4" s="241"/>
      <c r="Q4" s="241" t="s">
        <v>155</v>
      </c>
      <c r="R4" s="241"/>
      <c r="S4" s="241" t="s">
        <v>156</v>
      </c>
      <c r="T4" s="241"/>
      <c r="U4" s="241" t="s">
        <v>157</v>
      </c>
      <c r="V4" s="241"/>
      <c r="W4" s="241" t="s">
        <v>158</v>
      </c>
      <c r="X4" s="241"/>
      <c r="Y4" s="241" t="s">
        <v>159</v>
      </c>
      <c r="Z4" s="241"/>
      <c r="AA4" s="241" t="s">
        <v>160</v>
      </c>
      <c r="AB4" s="241"/>
      <c r="AC4" s="241" t="s">
        <v>161</v>
      </c>
      <c r="AD4" s="241"/>
      <c r="AE4" s="241" t="s">
        <v>162</v>
      </c>
      <c r="AF4" s="241"/>
      <c r="AG4" s="241" t="s">
        <v>163</v>
      </c>
      <c r="AH4" s="241"/>
      <c r="AI4" s="241" t="s">
        <v>164</v>
      </c>
      <c r="AJ4" s="241"/>
      <c r="AK4" s="241" t="s">
        <v>165</v>
      </c>
      <c r="AL4" s="241"/>
      <c r="AM4" s="243"/>
      <c r="AN4" s="243"/>
      <c r="AO4" s="242"/>
      <c r="AP4" s="242"/>
      <c r="AQ4" s="242"/>
      <c r="AR4" s="242"/>
      <c r="AS4" s="243"/>
      <c r="AU4" s="21" t="s">
        <v>2</v>
      </c>
      <c r="AV4" s="22" t="s">
        <v>166</v>
      </c>
      <c r="AW4" s="23" t="s">
        <v>167</v>
      </c>
    </row>
    <row r="5" spans="1:49" s="20" customFormat="1" ht="28.5" thickTop="1" thickBot="1" x14ac:dyDescent="0.3">
      <c r="B5" s="34" t="s">
        <v>168</v>
      </c>
      <c r="C5" s="33" t="s">
        <v>169</v>
      </c>
      <c r="D5" s="33" t="s">
        <v>170</v>
      </c>
      <c r="E5" s="33" t="s">
        <v>169</v>
      </c>
      <c r="F5" s="33" t="s">
        <v>170</v>
      </c>
      <c r="G5" s="33" t="s">
        <v>169</v>
      </c>
      <c r="H5" s="33" t="s">
        <v>170</v>
      </c>
      <c r="I5" s="33" t="s">
        <v>169</v>
      </c>
      <c r="J5" s="33" t="s">
        <v>170</v>
      </c>
      <c r="K5" s="33" t="s">
        <v>169</v>
      </c>
      <c r="L5" s="33" t="s">
        <v>170</v>
      </c>
      <c r="M5" s="33" t="s">
        <v>169</v>
      </c>
      <c r="N5" s="33" t="s">
        <v>170</v>
      </c>
      <c r="O5" s="33" t="s">
        <v>169</v>
      </c>
      <c r="P5" s="33" t="s">
        <v>170</v>
      </c>
      <c r="Q5" s="33" t="s">
        <v>169</v>
      </c>
      <c r="R5" s="33" t="s">
        <v>170</v>
      </c>
      <c r="S5" s="33" t="s">
        <v>169</v>
      </c>
      <c r="T5" s="33" t="s">
        <v>170</v>
      </c>
      <c r="U5" s="33" t="s">
        <v>169</v>
      </c>
      <c r="V5" s="33" t="s">
        <v>170</v>
      </c>
      <c r="W5" s="33" t="s">
        <v>169</v>
      </c>
      <c r="X5" s="33" t="s">
        <v>170</v>
      </c>
      <c r="Y5" s="33" t="s">
        <v>169</v>
      </c>
      <c r="Z5" s="33" t="s">
        <v>170</v>
      </c>
      <c r="AA5" s="33" t="s">
        <v>169</v>
      </c>
      <c r="AB5" s="33" t="s">
        <v>170</v>
      </c>
      <c r="AC5" s="33" t="s">
        <v>169</v>
      </c>
      <c r="AD5" s="33" t="s">
        <v>170</v>
      </c>
      <c r="AE5" s="33" t="s">
        <v>169</v>
      </c>
      <c r="AF5" s="33" t="s">
        <v>170</v>
      </c>
      <c r="AG5" s="33" t="s">
        <v>169</v>
      </c>
      <c r="AH5" s="33" t="s">
        <v>170</v>
      </c>
      <c r="AI5" s="33" t="s">
        <v>169</v>
      </c>
      <c r="AJ5" s="33" t="s">
        <v>170</v>
      </c>
      <c r="AK5" s="33" t="s">
        <v>169</v>
      </c>
      <c r="AL5" s="33" t="s">
        <v>170</v>
      </c>
      <c r="AM5" s="243"/>
      <c r="AN5" s="243"/>
      <c r="AO5" s="242"/>
      <c r="AP5" s="242"/>
      <c r="AQ5" s="242"/>
      <c r="AR5" s="242"/>
      <c r="AS5" s="243"/>
      <c r="AU5" s="21" t="s">
        <v>22</v>
      </c>
      <c r="AV5" s="22" t="s">
        <v>171</v>
      </c>
      <c r="AW5" s="23" t="s">
        <v>172</v>
      </c>
    </row>
    <row r="6" spans="1:49" ht="53.5" customHeight="1" thickTop="1" thickBot="1" x14ac:dyDescent="0.3">
      <c r="A6" s="20"/>
      <c r="B6" s="26" t="str">
        <f>'RIESGOS DE CORRUPCION'!D9</f>
        <v xml:space="preserve">Controles sobre los tiempos de los contratos </v>
      </c>
      <c r="C6" s="23" t="s">
        <v>367</v>
      </c>
      <c r="D6" s="23"/>
      <c r="E6" s="23" t="s">
        <v>367</v>
      </c>
      <c r="F6" s="23"/>
      <c r="G6" s="23" t="s">
        <v>367</v>
      </c>
      <c r="H6" s="23"/>
      <c r="I6" s="23" t="s">
        <v>367</v>
      </c>
      <c r="J6" s="23"/>
      <c r="K6" s="23" t="s">
        <v>367</v>
      </c>
      <c r="L6" s="23"/>
      <c r="M6" s="23" t="s">
        <v>367</v>
      </c>
      <c r="N6" s="23"/>
      <c r="O6" s="23" t="s">
        <v>367</v>
      </c>
      <c r="P6" s="23"/>
      <c r="Q6" s="23"/>
      <c r="R6" s="23" t="s">
        <v>367</v>
      </c>
      <c r="S6" s="23" t="s">
        <v>367</v>
      </c>
      <c r="T6" s="23"/>
      <c r="U6" s="23" t="s">
        <v>367</v>
      </c>
      <c r="V6" s="23"/>
      <c r="W6" s="23"/>
      <c r="X6" s="23" t="s">
        <v>367</v>
      </c>
      <c r="Y6" s="23"/>
      <c r="Z6" s="23" t="s">
        <v>367</v>
      </c>
      <c r="AA6" s="23"/>
      <c r="AB6" s="23" t="s">
        <v>367</v>
      </c>
      <c r="AC6" s="23"/>
      <c r="AD6" s="23" t="s">
        <v>367</v>
      </c>
      <c r="AE6" s="23" t="s">
        <v>367</v>
      </c>
      <c r="AF6" s="23"/>
      <c r="AG6" s="23"/>
      <c r="AH6" s="23" t="s">
        <v>367</v>
      </c>
      <c r="AI6" s="23"/>
      <c r="AJ6" s="23" t="s">
        <v>367</v>
      </c>
      <c r="AK6" s="23"/>
      <c r="AL6" s="23" t="s">
        <v>367</v>
      </c>
      <c r="AM6" s="23">
        <f>+COUNTIFS($C$5:$AL$5,"SI",$C6:$AL6,"X")</f>
        <v>10</v>
      </c>
      <c r="AN6" s="23">
        <f>+COUNTIFS($C$5:$AL$5,"NO",$C6:$AL6,"X")</f>
        <v>8</v>
      </c>
      <c r="AO6" s="23" t="str">
        <f>+IF(AM6&lt;=5,"MODERADO",IF(AND(AM6&gt;5,AM6&lt;11),"MAYOR",IF(AM6&gt;=11,"CATASTRÓFICO")))</f>
        <v>MAYOR</v>
      </c>
      <c r="AP6" s="23">
        <f>+IF(AO6="MODERADO",5,IF(AO6="MAYOR",10,IF(AO6="CATASTRÓFICO",20)))</f>
        <v>10</v>
      </c>
      <c r="AQ6" s="23">
        <f>+VLOOKUP(B6,'RIESGOS DE CORRUPCION'!D9:AN10,4,FALSE)</f>
        <v>4</v>
      </c>
      <c r="AR6" s="23">
        <f>+AQ6*AP6</f>
        <v>40</v>
      </c>
      <c r="AS6" s="23" t="str">
        <f>+VLOOKUP(AR6,$AU$10:$AW$22,3,FALSE)</f>
        <v>ZONA DE RIESGO EXTREMA</v>
      </c>
      <c r="AT6" s="20"/>
      <c r="AU6" s="21" t="s">
        <v>21</v>
      </c>
      <c r="AV6" s="22" t="s">
        <v>173</v>
      </c>
      <c r="AW6" s="23" t="s">
        <v>405</v>
      </c>
    </row>
    <row r="7" spans="1:49" ht="66.650000000000006" customHeight="1" thickTop="1" thickBot="1" x14ac:dyDescent="0.3">
      <c r="A7" s="20"/>
      <c r="B7" s="26" t="str">
        <f>'RIESGOS DE CORRUPCION'!D10</f>
        <v>Sobrejecución contractual</v>
      </c>
      <c r="C7" s="23" t="s">
        <v>367</v>
      </c>
      <c r="D7" s="23"/>
      <c r="E7" s="23" t="s">
        <v>367</v>
      </c>
      <c r="F7" s="23"/>
      <c r="G7" s="23" t="s">
        <v>367</v>
      </c>
      <c r="H7" s="23"/>
      <c r="I7" s="23" t="s">
        <v>367</v>
      </c>
      <c r="J7" s="23"/>
      <c r="K7" s="23" t="s">
        <v>367</v>
      </c>
      <c r="L7" s="23"/>
      <c r="M7" s="23" t="s">
        <v>367</v>
      </c>
      <c r="N7" s="23"/>
      <c r="O7" s="23" t="s">
        <v>367</v>
      </c>
      <c r="P7" s="23"/>
      <c r="Q7" s="23"/>
      <c r="R7" s="23" t="s">
        <v>367</v>
      </c>
      <c r="S7" s="23" t="s">
        <v>367</v>
      </c>
      <c r="T7" s="23"/>
      <c r="U7" s="23" t="s">
        <v>367</v>
      </c>
      <c r="V7" s="23"/>
      <c r="W7" s="23"/>
      <c r="X7" s="23" t="s">
        <v>367</v>
      </c>
      <c r="Y7" s="23"/>
      <c r="Z7" s="23" t="s">
        <v>367</v>
      </c>
      <c r="AA7" s="23"/>
      <c r="AB7" s="23" t="s">
        <v>367</v>
      </c>
      <c r="AC7" s="23"/>
      <c r="AD7" s="23" t="s">
        <v>367</v>
      </c>
      <c r="AE7" s="23" t="s">
        <v>367</v>
      </c>
      <c r="AF7" s="23"/>
      <c r="AG7" s="23"/>
      <c r="AH7" s="23" t="s">
        <v>367</v>
      </c>
      <c r="AI7" s="23"/>
      <c r="AJ7" s="23" t="s">
        <v>367</v>
      </c>
      <c r="AK7" s="23"/>
      <c r="AL7" s="23" t="s">
        <v>367</v>
      </c>
      <c r="AM7" s="23">
        <f>+COUNTIFS($C$5:$AL$5,"SI",$C7:$AL7,"X")</f>
        <v>10</v>
      </c>
      <c r="AN7" s="23">
        <f>+COUNTIFS($C$5:$AL$5,"NO",$C7:$AL7,"X")</f>
        <v>8</v>
      </c>
      <c r="AO7" s="23" t="str">
        <f t="shared" ref="AO7:AO9" si="0">+IF(AM7&lt;=5,"MODERADO",IF(AND(AM7&gt;5,AM7&lt;11),"MAYOR",IF(AM7&gt;=11,"CATASTRÓFICO")))</f>
        <v>MAYOR</v>
      </c>
      <c r="AP7" s="23">
        <f t="shared" ref="AP7:AP9" si="1">+IF(AO7="MODERADO",5,IF(AO7="MAYOR",10,IF(AO7="CATASTRÓFICO",20)))</f>
        <v>10</v>
      </c>
      <c r="AQ7" s="23">
        <f>+VLOOKUP(B7,'RIESGOS DE CORRUPCION'!D10:AN11,4,FALSE)</f>
        <v>4</v>
      </c>
      <c r="AR7" s="23">
        <f t="shared" ref="AR7:AR9" si="2">+AQ7*AP7</f>
        <v>40</v>
      </c>
      <c r="AS7" s="23" t="str">
        <f>+VLOOKUP(AR7,$AU$10:$AW$22,3,FALSE)</f>
        <v>ZONA DE RIESGO EXTREMA</v>
      </c>
      <c r="AT7" s="20"/>
      <c r="AU7" s="20"/>
      <c r="AV7" s="20"/>
      <c r="AW7" s="20"/>
    </row>
    <row r="8" spans="1:49" ht="90" customHeight="1" thickTop="1" thickBot="1" x14ac:dyDescent="0.4">
      <c r="A8" s="20"/>
      <c r="B8" s="26" t="str">
        <f>'RIESGOS DE CORRUPCION'!D11</f>
        <v>Decisiones ajustadas a intereses particulares para realizar actividades no previstas como prioritarias o programadas.</v>
      </c>
      <c r="C8" s="23" t="s">
        <v>367</v>
      </c>
      <c r="D8" s="23"/>
      <c r="E8" s="23" t="s">
        <v>367</v>
      </c>
      <c r="F8" s="23"/>
      <c r="G8" s="23"/>
      <c r="H8" s="23" t="s">
        <v>367</v>
      </c>
      <c r="I8" s="23"/>
      <c r="J8" s="23" t="s">
        <v>367</v>
      </c>
      <c r="K8" s="23" t="s">
        <v>367</v>
      </c>
      <c r="L8" s="23"/>
      <c r="M8" s="23"/>
      <c r="N8" s="23" t="s">
        <v>367</v>
      </c>
      <c r="O8" s="23"/>
      <c r="P8" s="23" t="s">
        <v>367</v>
      </c>
      <c r="Q8" s="23"/>
      <c r="R8" s="23" t="s">
        <v>367</v>
      </c>
      <c r="S8" s="23"/>
      <c r="T8" s="23" t="s">
        <v>367</v>
      </c>
      <c r="U8" s="23" t="s">
        <v>367</v>
      </c>
      <c r="V8" s="23"/>
      <c r="W8" s="23"/>
      <c r="X8" s="23" t="s">
        <v>367</v>
      </c>
      <c r="Y8" s="23"/>
      <c r="Z8" s="23" t="s">
        <v>367</v>
      </c>
      <c r="AA8" s="23"/>
      <c r="AB8" s="23" t="s">
        <v>367</v>
      </c>
      <c r="AC8" s="23"/>
      <c r="AD8" s="23" t="s">
        <v>367</v>
      </c>
      <c r="AE8" s="23"/>
      <c r="AF8" s="23" t="s">
        <v>367</v>
      </c>
      <c r="AG8" s="23"/>
      <c r="AH8" s="23" t="s">
        <v>367</v>
      </c>
      <c r="AI8" s="23"/>
      <c r="AJ8" s="23" t="s">
        <v>367</v>
      </c>
      <c r="AK8" s="23"/>
      <c r="AL8" s="23" t="s">
        <v>367</v>
      </c>
      <c r="AM8" s="23">
        <f t="shared" ref="AM8:AM10" si="3">+COUNTIFS($C$5:$AL$5,"SI",$C8:$AL8,"X")</f>
        <v>4</v>
      </c>
      <c r="AN8" s="23">
        <f t="shared" ref="AN8:AN10" si="4">+COUNTIFS($C$5:$AL$5,"NO",$C8:$AL8,"X")</f>
        <v>14</v>
      </c>
      <c r="AO8" s="23" t="str">
        <f t="shared" si="0"/>
        <v>MODERADO</v>
      </c>
      <c r="AP8" s="23">
        <f t="shared" si="1"/>
        <v>5</v>
      </c>
      <c r="AQ8" s="23">
        <f>+VLOOKUP(B8,'RIESGOS DE CORRUPCION'!D11:AN11,4,FALSE)</f>
        <v>2</v>
      </c>
      <c r="AR8" s="23">
        <f t="shared" si="2"/>
        <v>10</v>
      </c>
      <c r="AS8" s="23" t="str">
        <f>+VLOOKUP(AR8,$AU$10:$AW$22,3,FALSE)</f>
        <v>ZONA DE RIESGO BAJA</v>
      </c>
      <c r="AT8" s="20"/>
      <c r="AU8" s="244" t="s">
        <v>174</v>
      </c>
      <c r="AV8" s="244"/>
      <c r="AW8" s="244"/>
    </row>
    <row r="9" spans="1:49" ht="64.900000000000006" customHeight="1" thickTop="1" thickBot="1" x14ac:dyDescent="0.3">
      <c r="A9" s="20"/>
      <c r="B9" s="26" t="str">
        <f>'RIESGOS DE CORRUPCION'!D12</f>
        <v xml:space="preserve">Adquisición de bienes y/o servicios en condiciones poco favorables para la compañía
PAA 2024
</v>
      </c>
      <c r="C9" s="23" t="s">
        <v>367</v>
      </c>
      <c r="D9" s="23"/>
      <c r="E9" s="23" t="s">
        <v>367</v>
      </c>
      <c r="F9" s="23"/>
      <c r="G9" s="23"/>
      <c r="H9" s="23" t="s">
        <v>367</v>
      </c>
      <c r="I9" s="23"/>
      <c r="J9" s="23" t="s">
        <v>367</v>
      </c>
      <c r="K9" s="23"/>
      <c r="L9" s="23" t="s">
        <v>367</v>
      </c>
      <c r="M9" s="23" t="s">
        <v>367</v>
      </c>
      <c r="N9" s="23"/>
      <c r="O9" s="23"/>
      <c r="P9" s="23" t="s">
        <v>367</v>
      </c>
      <c r="Q9" s="23"/>
      <c r="R9" s="23" t="s">
        <v>367</v>
      </c>
      <c r="S9" s="23"/>
      <c r="T9" s="23" t="s">
        <v>367</v>
      </c>
      <c r="U9" s="23" t="s">
        <v>367</v>
      </c>
      <c r="V9" s="23"/>
      <c r="W9" s="23"/>
      <c r="X9" s="23" t="s">
        <v>367</v>
      </c>
      <c r="Y9" s="23"/>
      <c r="Z9" s="23" t="s">
        <v>367</v>
      </c>
      <c r="AA9" s="23"/>
      <c r="AB9" s="23" t="s">
        <v>367</v>
      </c>
      <c r="AC9" s="23"/>
      <c r="AD9" s="23" t="s">
        <v>367</v>
      </c>
      <c r="AE9" s="23"/>
      <c r="AF9" s="23" t="s">
        <v>367</v>
      </c>
      <c r="AG9" s="23"/>
      <c r="AH9" s="23" t="s">
        <v>367</v>
      </c>
      <c r="AI9" s="23"/>
      <c r="AJ9" s="23" t="s">
        <v>367</v>
      </c>
      <c r="AK9" s="23"/>
      <c r="AL9" s="23" t="s">
        <v>367</v>
      </c>
      <c r="AM9" s="23">
        <f t="shared" si="3"/>
        <v>4</v>
      </c>
      <c r="AN9" s="23">
        <f t="shared" si="4"/>
        <v>14</v>
      </c>
      <c r="AO9" s="23" t="str">
        <f t="shared" si="0"/>
        <v>MODERADO</v>
      </c>
      <c r="AP9" s="23">
        <f t="shared" si="1"/>
        <v>5</v>
      </c>
      <c r="AQ9" s="23">
        <f>+VLOOKUP(B9,'RIESGOS DE CORRUPCION'!D12:AN12,4,FALSE)</f>
        <v>2</v>
      </c>
      <c r="AR9" s="23">
        <f t="shared" si="2"/>
        <v>10</v>
      </c>
      <c r="AS9" s="23" t="str">
        <f>+VLOOKUP(AR9,$AU$10:$AW$22,3,FALSE)</f>
        <v>ZONA DE RIESGO BAJA</v>
      </c>
      <c r="AT9" s="20"/>
      <c r="AU9" s="29" t="s">
        <v>175</v>
      </c>
      <c r="AV9" s="35" t="s">
        <v>176</v>
      </c>
      <c r="AW9" s="29" t="s">
        <v>143</v>
      </c>
    </row>
    <row r="10" spans="1:49" ht="64.900000000000006" customHeight="1" thickTop="1" thickBot="1" x14ac:dyDescent="0.3">
      <c r="A10" s="20"/>
      <c r="B10" s="26" t="str">
        <f>'RIESGOS DE CORRUPCION'!D13</f>
        <v>Cobro por trámite anticipado de pago de facturas no programadas</v>
      </c>
      <c r="C10" s="23" t="s">
        <v>367</v>
      </c>
      <c r="D10" s="23"/>
      <c r="E10" s="23"/>
      <c r="F10" s="23" t="s">
        <v>367</v>
      </c>
      <c r="G10" s="23"/>
      <c r="H10" s="23" t="s">
        <v>367</v>
      </c>
      <c r="I10" s="23"/>
      <c r="J10" s="23" t="s">
        <v>367</v>
      </c>
      <c r="K10" s="23" t="s">
        <v>367</v>
      </c>
      <c r="L10" s="23"/>
      <c r="M10" s="23"/>
      <c r="N10" s="23" t="s">
        <v>367</v>
      </c>
      <c r="O10" s="23" t="s">
        <v>367</v>
      </c>
      <c r="P10" s="23"/>
      <c r="Q10" s="23"/>
      <c r="R10" s="23" t="s">
        <v>367</v>
      </c>
      <c r="S10" s="23"/>
      <c r="T10" s="23" t="s">
        <v>367</v>
      </c>
      <c r="U10" s="23"/>
      <c r="V10" s="23" t="s">
        <v>367</v>
      </c>
      <c r="W10" s="23" t="s">
        <v>367</v>
      </c>
      <c r="X10" s="23"/>
      <c r="Y10" s="23" t="s">
        <v>367</v>
      </c>
      <c r="Z10" s="23"/>
      <c r="AA10" s="23"/>
      <c r="AB10" s="23" t="s">
        <v>367</v>
      </c>
      <c r="AC10" s="23"/>
      <c r="AD10" s="23" t="s">
        <v>367</v>
      </c>
      <c r="AE10" s="23"/>
      <c r="AF10" s="23" t="s">
        <v>367</v>
      </c>
      <c r="AG10" s="23"/>
      <c r="AH10" s="23" t="s">
        <v>367</v>
      </c>
      <c r="AI10" s="23"/>
      <c r="AJ10" s="23" t="s">
        <v>367</v>
      </c>
      <c r="AK10" s="23"/>
      <c r="AL10" s="23" t="s">
        <v>367</v>
      </c>
      <c r="AM10" s="23">
        <f t="shared" si="3"/>
        <v>5</v>
      </c>
      <c r="AN10" s="23">
        <f t="shared" si="4"/>
        <v>13</v>
      </c>
      <c r="AO10" s="23" t="str">
        <f t="shared" ref="AO10" si="5">+IF(AM10&lt;=5,"MODERADO",IF(AND(AM10&gt;5,AM10&lt;11),"MAYOR",IF(AM10&gt;=11,"CATASTRÓFICO")))</f>
        <v>MODERADO</v>
      </c>
      <c r="AP10" s="23">
        <f t="shared" ref="AP10" si="6">+IF(AO10="MODERADO",5,IF(AO10="MAYOR",10,IF(AO10="CATASTRÓFICO",20)))</f>
        <v>5</v>
      </c>
      <c r="AQ10" s="23">
        <f>+VLOOKUP(B10,'RIESGOS DE CORRUPCION'!D13:AN13,4,FALSE)</f>
        <v>2</v>
      </c>
      <c r="AR10" s="23">
        <f t="shared" ref="AR10" si="7">+AQ10*AP10</f>
        <v>10</v>
      </c>
      <c r="AS10" s="23" t="str">
        <f t="shared" ref="AS10" si="8">+VLOOKUP(AR10,$AU$10:$AW$22,3,FALSE)</f>
        <v>ZONA DE RIESGO BAJA</v>
      </c>
      <c r="AT10" s="20"/>
      <c r="AU10" s="23">
        <v>5</v>
      </c>
      <c r="AV10" s="24" t="s">
        <v>177</v>
      </c>
      <c r="AW10" s="23" t="s">
        <v>178</v>
      </c>
    </row>
    <row r="11" spans="1:49" ht="64.900000000000006" customHeight="1" thickTop="1" thickBot="1" x14ac:dyDescent="0.3">
      <c r="A11" s="20"/>
      <c r="B11" s="26" t="str">
        <f>'RIESGOS DE CORRUPCION'!D14</f>
        <v>Pagos incorrectos de salarios o prestaciones, generando incumplimientos legales y descontento entre los empleados.</v>
      </c>
      <c r="C11" s="23" t="s">
        <v>367</v>
      </c>
      <c r="D11" s="23"/>
      <c r="E11" s="23"/>
      <c r="F11" s="23" t="s">
        <v>367</v>
      </c>
      <c r="G11" s="23"/>
      <c r="H11" s="23" t="s">
        <v>367</v>
      </c>
      <c r="I11" s="23"/>
      <c r="J11" s="23" t="s">
        <v>367</v>
      </c>
      <c r="K11" s="23" t="s">
        <v>367</v>
      </c>
      <c r="L11" s="23"/>
      <c r="M11" s="23" t="s">
        <v>367</v>
      </c>
      <c r="N11" s="23"/>
      <c r="O11" s="23"/>
      <c r="P11" s="23" t="s">
        <v>367</v>
      </c>
      <c r="Q11" s="23"/>
      <c r="R11" s="23" t="s">
        <v>367</v>
      </c>
      <c r="S11" s="23"/>
      <c r="T11" s="23" t="s">
        <v>367</v>
      </c>
      <c r="U11" s="23"/>
      <c r="V11" s="23" t="s">
        <v>367</v>
      </c>
      <c r="W11" s="23"/>
      <c r="X11" s="23" t="s">
        <v>367</v>
      </c>
      <c r="Y11" s="23" t="s">
        <v>367</v>
      </c>
      <c r="Z11" s="23"/>
      <c r="AA11" s="23"/>
      <c r="AB11" s="23" t="s">
        <v>367</v>
      </c>
      <c r="AC11" s="23"/>
      <c r="AD11" s="23" t="s">
        <v>367</v>
      </c>
      <c r="AE11" s="23"/>
      <c r="AF11" s="23" t="s">
        <v>367</v>
      </c>
      <c r="AG11" s="23"/>
      <c r="AH11" s="23" t="s">
        <v>367</v>
      </c>
      <c r="AI11" s="23"/>
      <c r="AJ11" s="23" t="s">
        <v>367</v>
      </c>
      <c r="AK11" s="23"/>
      <c r="AL11" s="23" t="s">
        <v>367</v>
      </c>
      <c r="AM11" s="23">
        <f t="shared" ref="AM11:AM20" si="9">+COUNTIFS($C$5:$AL$5,"SI",$C10:$AL10,"X")</f>
        <v>5</v>
      </c>
      <c r="AN11" s="23">
        <f t="shared" ref="AN11:AN20" si="10">+COUNTIFS($C$5:$AL$5,"NO",$C10:$AL10,"X")</f>
        <v>13</v>
      </c>
      <c r="AO11" s="23" t="str">
        <f t="shared" ref="AO11:AO27" si="11">+IF(AM11&lt;=5,"MODERADO",IF(AND(AM11&gt;5,AM11&lt;11),"MAYOR",IF(AM11&gt;=11,"CATASTRÓFICO")))</f>
        <v>MODERADO</v>
      </c>
      <c r="AP11" s="23">
        <f t="shared" ref="AP11:AP27" si="12">+IF(AO11="MODERADO",5,IF(AO11="MAYOR",10,IF(AO11="CATASTRÓFICO",20)))</f>
        <v>5</v>
      </c>
      <c r="AQ11" s="23">
        <f>+VLOOKUP(B10,'RIESGOS DE CORRUPCION'!D13:AN13,4,FALSE)</f>
        <v>2</v>
      </c>
      <c r="AR11" s="23">
        <f t="shared" ref="AR11:AR27" si="13">+AQ11*AP11</f>
        <v>10</v>
      </c>
      <c r="AS11" s="23" t="str">
        <f t="shared" ref="AS11:AS25" si="14">+VLOOKUP(AR11,$AU$10:$AW$22,3,FALSE)</f>
        <v>ZONA DE RIESGO BAJA</v>
      </c>
      <c r="AT11" s="20"/>
      <c r="AU11" s="23">
        <v>10</v>
      </c>
      <c r="AV11" s="24" t="s">
        <v>177</v>
      </c>
      <c r="AW11" s="23" t="s">
        <v>178</v>
      </c>
    </row>
    <row r="12" spans="1:49" ht="64.900000000000006" customHeight="1" thickTop="1" thickBot="1" x14ac:dyDescent="0.3">
      <c r="A12" s="20"/>
      <c r="B12" s="26" t="str">
        <f>'RIESGOS DE CORRUPCION'!D15</f>
        <v>Falta de ejecución del plan de capacitaciones de la Sociedad Tequendama (SIAO)</v>
      </c>
      <c r="C12" s="23" t="s">
        <v>367</v>
      </c>
      <c r="D12" s="23"/>
      <c r="E12" s="23" t="s">
        <v>367</v>
      </c>
      <c r="F12" s="23"/>
      <c r="G12" s="23"/>
      <c r="H12" s="23" t="s">
        <v>367</v>
      </c>
      <c r="I12" s="23"/>
      <c r="J12" s="23" t="s">
        <v>367</v>
      </c>
      <c r="K12" s="23"/>
      <c r="L12" s="23" t="s">
        <v>367</v>
      </c>
      <c r="M12" s="23"/>
      <c r="N12" s="23" t="s">
        <v>367</v>
      </c>
      <c r="O12" s="23"/>
      <c r="P12" s="23" t="s">
        <v>367</v>
      </c>
      <c r="Q12" s="23"/>
      <c r="R12" s="23" t="s">
        <v>367</v>
      </c>
      <c r="S12" s="23"/>
      <c r="T12" s="23" t="s">
        <v>367</v>
      </c>
      <c r="U12" s="23"/>
      <c r="V12" s="23" t="s">
        <v>367</v>
      </c>
      <c r="W12" s="23"/>
      <c r="X12" s="23" t="s">
        <v>367</v>
      </c>
      <c r="Y12" s="23"/>
      <c r="Z12" s="23" t="s">
        <v>367</v>
      </c>
      <c r="AA12" s="23"/>
      <c r="AB12" s="23" t="s">
        <v>367</v>
      </c>
      <c r="AC12" s="23"/>
      <c r="AD12" s="23" t="s">
        <v>367</v>
      </c>
      <c r="AE12" s="23" t="s">
        <v>367</v>
      </c>
      <c r="AF12" s="23"/>
      <c r="AG12" s="23"/>
      <c r="AH12" s="23" t="s">
        <v>367</v>
      </c>
      <c r="AI12" s="23"/>
      <c r="AJ12" s="23" t="s">
        <v>367</v>
      </c>
      <c r="AK12" s="23"/>
      <c r="AL12" s="23" t="s">
        <v>367</v>
      </c>
      <c r="AM12" s="23">
        <f t="shared" si="9"/>
        <v>4</v>
      </c>
      <c r="AN12" s="23">
        <f t="shared" si="10"/>
        <v>14</v>
      </c>
      <c r="AO12" s="23" t="str">
        <f t="shared" si="11"/>
        <v>MODERADO</v>
      </c>
      <c r="AP12" s="23">
        <f t="shared" si="12"/>
        <v>5</v>
      </c>
      <c r="AQ12" s="23">
        <f>+VLOOKUP(B11,'RIESGOS DE CORRUPCION'!D13:AN14,4,FALSE)</f>
        <v>1</v>
      </c>
      <c r="AR12" s="23">
        <f t="shared" si="13"/>
        <v>5</v>
      </c>
      <c r="AS12" s="23" t="str">
        <f t="shared" si="14"/>
        <v>ZONA DE RIESGO BAJA</v>
      </c>
      <c r="AT12" s="20"/>
      <c r="AU12" s="23">
        <v>15</v>
      </c>
      <c r="AV12" s="24" t="s">
        <v>179</v>
      </c>
      <c r="AW12" s="23" t="s">
        <v>180</v>
      </c>
    </row>
    <row r="13" spans="1:49" ht="64.900000000000006" customHeight="1" thickTop="1" thickBot="1" x14ac:dyDescent="0.3">
      <c r="A13" s="20"/>
      <c r="B13" s="26" t="str">
        <f>'RIESGOS DE CORRUPCION'!D16</f>
        <v>Pérdida, robo, daño y/o modificación sin autorización de la integridad de la información de la compañía en  beneficio de un tercero.</v>
      </c>
      <c r="C13" s="23" t="s">
        <v>367</v>
      </c>
      <c r="D13" s="23"/>
      <c r="E13" s="23" t="s">
        <v>367</v>
      </c>
      <c r="F13" s="23"/>
      <c r="G13" s="23"/>
      <c r="H13" s="23" t="s">
        <v>367</v>
      </c>
      <c r="I13" s="23"/>
      <c r="J13" s="23" t="s">
        <v>367</v>
      </c>
      <c r="K13" s="23"/>
      <c r="L13" s="23" t="s">
        <v>367</v>
      </c>
      <c r="M13" s="23"/>
      <c r="N13" s="23" t="s">
        <v>367</v>
      </c>
      <c r="O13" s="23"/>
      <c r="P13" s="23" t="s">
        <v>367</v>
      </c>
      <c r="Q13" s="23"/>
      <c r="R13" s="23" t="s">
        <v>367</v>
      </c>
      <c r="S13" s="23"/>
      <c r="T13" s="23" t="s">
        <v>367</v>
      </c>
      <c r="U13" s="23" t="s">
        <v>367</v>
      </c>
      <c r="V13" s="23"/>
      <c r="W13" s="23" t="s">
        <v>367</v>
      </c>
      <c r="X13" s="23"/>
      <c r="Y13" s="23"/>
      <c r="Z13" s="23" t="s">
        <v>367</v>
      </c>
      <c r="AA13" s="23"/>
      <c r="AB13" s="23" t="s">
        <v>367</v>
      </c>
      <c r="AC13" s="23"/>
      <c r="AD13" s="23" t="s">
        <v>367</v>
      </c>
      <c r="AE13" s="23"/>
      <c r="AF13" s="23" t="s">
        <v>367</v>
      </c>
      <c r="AG13" s="23"/>
      <c r="AH13" s="23" t="s">
        <v>367</v>
      </c>
      <c r="AI13" s="23"/>
      <c r="AJ13" s="23" t="s">
        <v>367</v>
      </c>
      <c r="AK13" s="23"/>
      <c r="AL13" s="23" t="s">
        <v>367</v>
      </c>
      <c r="AM13" s="23">
        <f t="shared" si="9"/>
        <v>3</v>
      </c>
      <c r="AN13" s="23">
        <f t="shared" si="10"/>
        <v>15</v>
      </c>
      <c r="AO13" s="23" t="str">
        <f t="shared" si="11"/>
        <v>MODERADO</v>
      </c>
      <c r="AP13" s="23">
        <f t="shared" si="12"/>
        <v>5</v>
      </c>
      <c r="AQ13" s="23">
        <f>+VLOOKUP(B12,'RIESGOS DE CORRUPCION'!D14:AN15,4,FALSE)</f>
        <v>1</v>
      </c>
      <c r="AR13" s="23">
        <f t="shared" si="13"/>
        <v>5</v>
      </c>
      <c r="AS13" s="23" t="str">
        <f t="shared" si="14"/>
        <v>ZONA DE RIESGO BAJA</v>
      </c>
      <c r="AT13" s="20"/>
      <c r="AU13" s="23">
        <v>20</v>
      </c>
      <c r="AV13" s="24" t="s">
        <v>179</v>
      </c>
      <c r="AW13" s="23" t="s">
        <v>180</v>
      </c>
    </row>
    <row r="14" spans="1:49" ht="64.900000000000006" customHeight="1" thickTop="1" thickBot="1" x14ac:dyDescent="0.3">
      <c r="A14" s="20"/>
      <c r="B14" s="26" t="str">
        <f>'RIESGOS DE CORRUPCION'!D17</f>
        <v>Perdida o deterioro y/o destrucción de la documentación en la Sociedad Tequendama.</v>
      </c>
      <c r="C14" s="23" t="s">
        <v>367</v>
      </c>
      <c r="D14" s="23"/>
      <c r="E14" s="23" t="s">
        <v>367</v>
      </c>
      <c r="F14" s="23"/>
      <c r="G14" s="23"/>
      <c r="H14" s="23" t="s">
        <v>367</v>
      </c>
      <c r="I14" s="23"/>
      <c r="J14" s="23" t="s">
        <v>367</v>
      </c>
      <c r="K14" s="23" t="s">
        <v>367</v>
      </c>
      <c r="L14" s="23"/>
      <c r="M14" s="23" t="s">
        <v>367</v>
      </c>
      <c r="N14" s="23"/>
      <c r="O14" s="23"/>
      <c r="P14" s="23" t="s">
        <v>367</v>
      </c>
      <c r="Q14" s="23"/>
      <c r="R14" s="23" t="s">
        <v>367</v>
      </c>
      <c r="S14" s="23" t="s">
        <v>367</v>
      </c>
      <c r="T14" s="23"/>
      <c r="U14" s="23" t="s">
        <v>367</v>
      </c>
      <c r="V14" s="23"/>
      <c r="W14" s="23" t="s">
        <v>367</v>
      </c>
      <c r="X14" s="23"/>
      <c r="Y14" s="23" t="s">
        <v>367</v>
      </c>
      <c r="Z14" s="23"/>
      <c r="AA14" s="23"/>
      <c r="AB14" s="23" t="s">
        <v>367</v>
      </c>
      <c r="AC14" s="23"/>
      <c r="AD14" s="23" t="s">
        <v>367</v>
      </c>
      <c r="AE14" s="23"/>
      <c r="AF14" s="23" t="s">
        <v>367</v>
      </c>
      <c r="AG14" s="23"/>
      <c r="AH14" s="23" t="s">
        <v>367</v>
      </c>
      <c r="AI14" s="23"/>
      <c r="AJ14" s="23" t="s">
        <v>367</v>
      </c>
      <c r="AK14" s="23"/>
      <c r="AL14" s="23" t="s">
        <v>367</v>
      </c>
      <c r="AM14" s="23">
        <f t="shared" si="9"/>
        <v>4</v>
      </c>
      <c r="AN14" s="23">
        <f t="shared" si="10"/>
        <v>14</v>
      </c>
      <c r="AO14" s="23" t="str">
        <f t="shared" si="11"/>
        <v>MODERADO</v>
      </c>
      <c r="AP14" s="23">
        <f t="shared" si="12"/>
        <v>5</v>
      </c>
      <c r="AQ14" s="23">
        <f>+VLOOKUP(B13,'RIESGOS DE CORRUPCION'!D15:AN16,4,FALSE)</f>
        <v>1</v>
      </c>
      <c r="AR14" s="23">
        <f t="shared" si="13"/>
        <v>5</v>
      </c>
      <c r="AS14" s="23" t="str">
        <f t="shared" si="14"/>
        <v>ZONA DE RIESGO BAJA</v>
      </c>
      <c r="AT14" s="20"/>
      <c r="AU14" s="26">
        <v>25</v>
      </c>
      <c r="AV14" s="42" t="s">
        <v>181</v>
      </c>
      <c r="AW14" s="26" t="s">
        <v>182</v>
      </c>
    </row>
    <row r="15" spans="1:49" ht="64.900000000000006" customHeight="1" thickTop="1" thickBot="1" x14ac:dyDescent="0.3">
      <c r="A15" s="20"/>
      <c r="B15" s="26" t="str">
        <f>'RIESGOS DE CORRUPCION'!D18</f>
        <v>Manipulación de los procedimientos de control disciplinario interno.</v>
      </c>
      <c r="C15" s="23" t="s">
        <v>367</v>
      </c>
      <c r="D15" s="23"/>
      <c r="E15" s="23"/>
      <c r="F15" s="23" t="s">
        <v>367</v>
      </c>
      <c r="G15" s="23"/>
      <c r="H15" s="23" t="s">
        <v>367</v>
      </c>
      <c r="I15" s="23"/>
      <c r="J15" s="23" t="s">
        <v>367</v>
      </c>
      <c r="K15" s="23" t="s">
        <v>367</v>
      </c>
      <c r="L15" s="23"/>
      <c r="M15" s="23"/>
      <c r="N15" s="23" t="s">
        <v>367</v>
      </c>
      <c r="O15" s="23"/>
      <c r="P15" s="23" t="s">
        <v>367</v>
      </c>
      <c r="Q15" s="23"/>
      <c r="R15" s="23" t="s">
        <v>367</v>
      </c>
      <c r="S15" s="23" t="s">
        <v>367</v>
      </c>
      <c r="T15" s="23"/>
      <c r="U15" s="23" t="s">
        <v>367</v>
      </c>
      <c r="V15" s="23"/>
      <c r="W15" s="23" t="s">
        <v>367</v>
      </c>
      <c r="X15" s="23"/>
      <c r="Y15" s="23" t="s">
        <v>367</v>
      </c>
      <c r="Z15" s="23"/>
      <c r="AA15" s="23" t="s">
        <v>367</v>
      </c>
      <c r="AB15" s="23"/>
      <c r="AC15" s="23"/>
      <c r="AD15" s="23" t="s">
        <v>367</v>
      </c>
      <c r="AE15" s="23"/>
      <c r="AF15" s="23" t="s">
        <v>367</v>
      </c>
      <c r="AG15" s="23"/>
      <c r="AH15" s="23" t="s">
        <v>367</v>
      </c>
      <c r="AI15" s="23"/>
      <c r="AJ15" s="23" t="s">
        <v>367</v>
      </c>
      <c r="AK15" s="23"/>
      <c r="AL15" s="23" t="s">
        <v>367</v>
      </c>
      <c r="AM15" s="23">
        <f t="shared" si="9"/>
        <v>8</v>
      </c>
      <c r="AN15" s="23">
        <f t="shared" si="10"/>
        <v>10</v>
      </c>
      <c r="AO15" s="23" t="str">
        <f t="shared" si="11"/>
        <v>MAYOR</v>
      </c>
      <c r="AP15" s="23">
        <f t="shared" si="12"/>
        <v>10</v>
      </c>
      <c r="AQ15" s="23">
        <f>+VLOOKUP(B14,'RIESGOS DE CORRUPCION'!D16:AN17,4,FALSE)</f>
        <v>4</v>
      </c>
      <c r="AR15" s="23">
        <f t="shared" si="13"/>
        <v>40</v>
      </c>
      <c r="AS15" s="23" t="str">
        <f t="shared" si="14"/>
        <v>ZONA DE RIESGO EXTREMA</v>
      </c>
      <c r="AT15" s="20"/>
      <c r="AU15" s="26">
        <v>30</v>
      </c>
      <c r="AV15" s="42" t="s">
        <v>181</v>
      </c>
      <c r="AW15" s="26" t="s">
        <v>182</v>
      </c>
    </row>
    <row r="16" spans="1:49" ht="64.900000000000006" customHeight="1" thickTop="1" thickBot="1" x14ac:dyDescent="0.3">
      <c r="A16" s="20"/>
      <c r="B16" s="26" t="str">
        <f>'RIESGOS DE CORRUPCION'!D19</f>
        <v>Materialice la responsabilidad civil y penal de los administradores</v>
      </c>
      <c r="C16" s="23" t="s">
        <v>367</v>
      </c>
      <c r="D16" s="23"/>
      <c r="E16" s="23"/>
      <c r="F16" s="23" t="s">
        <v>367</v>
      </c>
      <c r="G16" s="23"/>
      <c r="H16" s="23" t="s">
        <v>367</v>
      </c>
      <c r="I16" s="23"/>
      <c r="J16" s="23" t="s">
        <v>367</v>
      </c>
      <c r="K16" s="23" t="s">
        <v>367</v>
      </c>
      <c r="L16" s="23"/>
      <c r="M16" s="23"/>
      <c r="N16" s="23" t="s">
        <v>367</v>
      </c>
      <c r="O16" s="23"/>
      <c r="P16" s="23" t="s">
        <v>367</v>
      </c>
      <c r="Q16" s="23"/>
      <c r="R16" s="23" t="s">
        <v>367</v>
      </c>
      <c r="S16" s="23" t="s">
        <v>367</v>
      </c>
      <c r="T16" s="23"/>
      <c r="U16" s="23" t="s">
        <v>367</v>
      </c>
      <c r="V16" s="23"/>
      <c r="W16" s="23" t="s">
        <v>367</v>
      </c>
      <c r="X16" s="23"/>
      <c r="Y16" s="23" t="s">
        <v>367</v>
      </c>
      <c r="Z16" s="23"/>
      <c r="AA16" s="23" t="s">
        <v>367</v>
      </c>
      <c r="AB16" s="23"/>
      <c r="AC16" s="23" t="s">
        <v>367</v>
      </c>
      <c r="AD16" s="23"/>
      <c r="AE16" s="23"/>
      <c r="AF16" s="23" t="s">
        <v>367</v>
      </c>
      <c r="AG16" s="23"/>
      <c r="AH16" s="23" t="s">
        <v>367</v>
      </c>
      <c r="AI16" s="23"/>
      <c r="AJ16" s="23" t="s">
        <v>367</v>
      </c>
      <c r="AK16" s="23"/>
      <c r="AL16" s="23" t="s">
        <v>367</v>
      </c>
      <c r="AM16" s="23">
        <f t="shared" si="9"/>
        <v>7</v>
      </c>
      <c r="AN16" s="23">
        <f t="shared" si="10"/>
        <v>11</v>
      </c>
      <c r="AO16" s="23" t="str">
        <f t="shared" si="11"/>
        <v>MAYOR</v>
      </c>
      <c r="AP16" s="23">
        <f t="shared" si="12"/>
        <v>10</v>
      </c>
      <c r="AQ16" s="23">
        <f>+VLOOKUP(B15,'RIESGOS DE CORRUPCION'!D17:AN18,4,FALSE)</f>
        <v>1</v>
      </c>
      <c r="AR16" s="23">
        <f t="shared" si="13"/>
        <v>10</v>
      </c>
      <c r="AS16" s="23" t="str">
        <f t="shared" si="14"/>
        <v>ZONA DE RIESGO BAJA</v>
      </c>
      <c r="AT16" s="20"/>
      <c r="AU16" s="26">
        <v>25</v>
      </c>
      <c r="AV16" s="42" t="s">
        <v>181</v>
      </c>
      <c r="AW16" s="26" t="s">
        <v>182</v>
      </c>
    </row>
    <row r="17" spans="1:49" ht="64.900000000000006" customHeight="1" thickTop="1" thickBot="1" x14ac:dyDescent="0.3">
      <c r="A17" s="20"/>
      <c r="B17" s="26" t="str">
        <f>'RIESGOS DE CORRUPCION'!D20</f>
        <v>Materializar la responsabilidad fiscal, disicplinaria, administrativa y penal de los administradores</v>
      </c>
      <c r="C17" s="23" t="s">
        <v>367</v>
      </c>
      <c r="D17" s="23"/>
      <c r="E17" s="23"/>
      <c r="F17" s="23" t="s">
        <v>367</v>
      </c>
      <c r="G17" s="23"/>
      <c r="H17" s="23" t="s">
        <v>367</v>
      </c>
      <c r="I17" s="23"/>
      <c r="J17" s="23" t="s">
        <v>367</v>
      </c>
      <c r="K17" s="23" t="s">
        <v>367</v>
      </c>
      <c r="L17" s="23"/>
      <c r="M17" s="23"/>
      <c r="N17" s="23" t="s">
        <v>367</v>
      </c>
      <c r="O17" s="23"/>
      <c r="P17" s="23" t="s">
        <v>367</v>
      </c>
      <c r="Q17" s="23"/>
      <c r="R17" s="23" t="s">
        <v>367</v>
      </c>
      <c r="S17" s="23" t="s">
        <v>367</v>
      </c>
      <c r="T17" s="23"/>
      <c r="U17" s="23" t="s">
        <v>367</v>
      </c>
      <c r="V17" s="23"/>
      <c r="W17" s="23" t="s">
        <v>367</v>
      </c>
      <c r="X17" s="23"/>
      <c r="Y17" s="23" t="s">
        <v>367</v>
      </c>
      <c r="Z17" s="23"/>
      <c r="AA17" s="23" t="s">
        <v>367</v>
      </c>
      <c r="AB17" s="23"/>
      <c r="AC17" s="23" t="s">
        <v>367</v>
      </c>
      <c r="AD17" s="23"/>
      <c r="AE17" s="23"/>
      <c r="AF17" s="23" t="s">
        <v>367</v>
      </c>
      <c r="AG17" s="23"/>
      <c r="AH17" s="23" t="s">
        <v>367</v>
      </c>
      <c r="AI17" s="23"/>
      <c r="AJ17" s="23" t="s">
        <v>367</v>
      </c>
      <c r="AK17" s="23"/>
      <c r="AL17" s="23" t="s">
        <v>367</v>
      </c>
      <c r="AM17" s="23">
        <f t="shared" si="9"/>
        <v>8</v>
      </c>
      <c r="AN17" s="23">
        <f t="shared" si="10"/>
        <v>10</v>
      </c>
      <c r="AO17" s="23" t="str">
        <f t="shared" si="11"/>
        <v>MAYOR</v>
      </c>
      <c r="AP17" s="23">
        <f t="shared" si="12"/>
        <v>10</v>
      </c>
      <c r="AQ17" s="23">
        <f>+VLOOKUP(B16,'RIESGOS DE CORRUPCION'!D18:AN19,4,FALSE)</f>
        <v>1</v>
      </c>
      <c r="AR17" s="23">
        <f t="shared" si="13"/>
        <v>10</v>
      </c>
      <c r="AS17" s="23" t="str">
        <f t="shared" si="14"/>
        <v>ZONA DE RIESGO BAJA</v>
      </c>
      <c r="AT17" s="20"/>
      <c r="AU17" s="26">
        <v>40</v>
      </c>
      <c r="AV17" s="42" t="s">
        <v>183</v>
      </c>
      <c r="AW17" s="26" t="s">
        <v>184</v>
      </c>
    </row>
    <row r="18" spans="1:49" ht="64.900000000000006" customHeight="1" thickTop="1" thickBot="1" x14ac:dyDescent="0.3">
      <c r="A18" s="20"/>
      <c r="B18" s="26" t="str">
        <f>'RIESGOS DE CORRUPCION'!D21</f>
        <v>Generar condenas en contra de la sociedad que conlleven detrimento patrimonial y posibles acciones de repetición</v>
      </c>
      <c r="C18" s="23" t="s">
        <v>367</v>
      </c>
      <c r="D18" s="23"/>
      <c r="E18" s="23"/>
      <c r="F18" s="23" t="s">
        <v>367</v>
      </c>
      <c r="G18" s="23"/>
      <c r="H18" s="23" t="s">
        <v>367</v>
      </c>
      <c r="I18" s="23"/>
      <c r="J18" s="23" t="s">
        <v>367</v>
      </c>
      <c r="K18" s="23" t="s">
        <v>367</v>
      </c>
      <c r="L18" s="23"/>
      <c r="M18" s="23"/>
      <c r="N18" s="23" t="s">
        <v>367</v>
      </c>
      <c r="O18" s="23"/>
      <c r="P18" s="23" t="s">
        <v>367</v>
      </c>
      <c r="Q18" s="23"/>
      <c r="R18" s="23" t="s">
        <v>367</v>
      </c>
      <c r="S18" s="23"/>
      <c r="T18" s="23" t="s">
        <v>367</v>
      </c>
      <c r="U18" s="23" t="s">
        <v>367</v>
      </c>
      <c r="V18" s="23"/>
      <c r="W18" s="23" t="s">
        <v>367</v>
      </c>
      <c r="X18" s="23"/>
      <c r="Y18" s="23" t="s">
        <v>367</v>
      </c>
      <c r="Z18" s="23"/>
      <c r="AA18" s="23" t="s">
        <v>367</v>
      </c>
      <c r="AB18" s="23"/>
      <c r="AC18" s="23" t="s">
        <v>367</v>
      </c>
      <c r="AD18" s="23"/>
      <c r="AE18" s="23"/>
      <c r="AF18" s="23" t="s">
        <v>367</v>
      </c>
      <c r="AG18" s="23"/>
      <c r="AH18" s="23" t="s">
        <v>367</v>
      </c>
      <c r="AI18" s="23"/>
      <c r="AJ18" s="23" t="s">
        <v>367</v>
      </c>
      <c r="AK18" s="23"/>
      <c r="AL18" s="23" t="s">
        <v>367</v>
      </c>
      <c r="AM18" s="23">
        <f t="shared" si="9"/>
        <v>8</v>
      </c>
      <c r="AN18" s="23">
        <f t="shared" si="10"/>
        <v>10</v>
      </c>
      <c r="AO18" s="23" t="str">
        <f t="shared" si="11"/>
        <v>MAYOR</v>
      </c>
      <c r="AP18" s="23">
        <f t="shared" si="12"/>
        <v>10</v>
      </c>
      <c r="AQ18" s="23">
        <f>+VLOOKUP(B17,'RIESGOS DE CORRUPCION'!D19:AN20,4,FALSE)</f>
        <v>1</v>
      </c>
      <c r="AR18" s="23">
        <f t="shared" si="13"/>
        <v>10</v>
      </c>
      <c r="AS18" s="23" t="str">
        <f t="shared" si="14"/>
        <v>ZONA DE RIESGO BAJA</v>
      </c>
      <c r="AT18" s="20"/>
      <c r="AU18" s="26">
        <v>45</v>
      </c>
      <c r="AV18" s="42" t="s">
        <v>183</v>
      </c>
      <c r="AW18" s="26" t="s">
        <v>184</v>
      </c>
    </row>
    <row r="19" spans="1:49" ht="64.900000000000006" customHeight="1" thickTop="1" thickBot="1" x14ac:dyDescent="0.3">
      <c r="A19" s="20"/>
      <c r="B19" s="26" t="str">
        <f>'RIESGOS DE CORRUPCION'!D22</f>
        <v>Generar situaciones de incumplimiento que puedan conducir a demandas en contra de la sociedad por controversias contractuales</v>
      </c>
      <c r="C19" s="23" t="s">
        <v>367</v>
      </c>
      <c r="D19" s="23"/>
      <c r="E19" s="23"/>
      <c r="F19" s="23" t="s">
        <v>367</v>
      </c>
      <c r="G19" s="23"/>
      <c r="H19" s="23" t="s">
        <v>367</v>
      </c>
      <c r="I19" s="23"/>
      <c r="J19" s="23" t="s">
        <v>367</v>
      </c>
      <c r="K19" s="23" t="s">
        <v>367</v>
      </c>
      <c r="L19" s="23"/>
      <c r="M19" s="23"/>
      <c r="N19" s="23" t="s">
        <v>367</v>
      </c>
      <c r="O19" s="23"/>
      <c r="P19" s="23" t="s">
        <v>367</v>
      </c>
      <c r="Q19" s="23"/>
      <c r="R19" s="23" t="s">
        <v>367</v>
      </c>
      <c r="S19" s="23"/>
      <c r="T19" s="23" t="s">
        <v>367</v>
      </c>
      <c r="U19" s="23" t="s">
        <v>367</v>
      </c>
      <c r="V19" s="23"/>
      <c r="W19" s="23" t="s">
        <v>367</v>
      </c>
      <c r="X19" s="23"/>
      <c r="Y19" s="23" t="s">
        <v>367</v>
      </c>
      <c r="Z19" s="23"/>
      <c r="AA19" s="23" t="s">
        <v>367</v>
      </c>
      <c r="AB19" s="23"/>
      <c r="AC19" s="23" t="s">
        <v>367</v>
      </c>
      <c r="AD19" s="23"/>
      <c r="AE19" s="23"/>
      <c r="AF19" s="23" t="s">
        <v>367</v>
      </c>
      <c r="AG19" s="23"/>
      <c r="AH19" s="23" t="s">
        <v>367</v>
      </c>
      <c r="AI19" s="23"/>
      <c r="AJ19" s="23" t="s">
        <v>367</v>
      </c>
      <c r="AK19" s="23"/>
      <c r="AL19" s="23" t="s">
        <v>367</v>
      </c>
      <c r="AM19" s="23">
        <f t="shared" si="9"/>
        <v>7</v>
      </c>
      <c r="AN19" s="23">
        <f t="shared" si="10"/>
        <v>11</v>
      </c>
      <c r="AO19" s="23" t="str">
        <f t="shared" si="11"/>
        <v>MAYOR</v>
      </c>
      <c r="AP19" s="23">
        <f t="shared" si="12"/>
        <v>10</v>
      </c>
      <c r="AQ19" s="23">
        <f>+VLOOKUP(B18,'RIESGOS DE CORRUPCION'!D20:AN21,4,FALSE)</f>
        <v>1</v>
      </c>
      <c r="AR19" s="23">
        <f t="shared" si="13"/>
        <v>10</v>
      </c>
      <c r="AS19" s="23" t="str">
        <f t="shared" si="14"/>
        <v>ZONA DE RIESGO BAJA</v>
      </c>
      <c r="AT19" s="20"/>
      <c r="AU19" s="26">
        <v>50</v>
      </c>
      <c r="AV19" s="42" t="s">
        <v>183</v>
      </c>
      <c r="AW19" s="26" t="s">
        <v>184</v>
      </c>
    </row>
    <row r="20" spans="1:49" ht="64.900000000000006" customHeight="1" thickTop="1" thickBot="1" x14ac:dyDescent="0.3">
      <c r="A20" s="20"/>
      <c r="B20" s="26" t="str">
        <f>'RIESGOS DE CORRUPCION'!D23</f>
        <v>Ocultar hallazgos y/o resultados de las auditorías lo cual impida identificar prácticas irregulares o corruptas y sus directos responsables que afecten los intereses de la compañía.</v>
      </c>
      <c r="C20" s="23" t="s">
        <v>367</v>
      </c>
      <c r="D20" s="23"/>
      <c r="E20" s="23" t="s">
        <v>367</v>
      </c>
      <c r="F20" s="23"/>
      <c r="G20" s="23"/>
      <c r="H20" s="23" t="s">
        <v>367</v>
      </c>
      <c r="I20" s="23"/>
      <c r="J20" s="23" t="s">
        <v>367</v>
      </c>
      <c r="K20" s="23" t="s">
        <v>367</v>
      </c>
      <c r="L20" s="23"/>
      <c r="M20" s="23"/>
      <c r="N20" s="23" t="s">
        <v>367</v>
      </c>
      <c r="O20" s="23"/>
      <c r="P20" s="23" t="s">
        <v>367</v>
      </c>
      <c r="Q20" s="23"/>
      <c r="R20" s="23" t="s">
        <v>367</v>
      </c>
      <c r="S20" s="23" t="s">
        <v>367</v>
      </c>
      <c r="T20" s="23"/>
      <c r="U20" s="23" t="s">
        <v>367</v>
      </c>
      <c r="V20" s="23"/>
      <c r="W20" s="23" t="s">
        <v>367</v>
      </c>
      <c r="X20" s="23"/>
      <c r="Y20" s="23" t="s">
        <v>367</v>
      </c>
      <c r="Z20" s="23"/>
      <c r="AA20" s="23" t="s">
        <v>367</v>
      </c>
      <c r="AB20" s="23"/>
      <c r="AC20" s="23" t="s">
        <v>367</v>
      </c>
      <c r="AD20" s="23"/>
      <c r="AE20" s="23" t="s">
        <v>367</v>
      </c>
      <c r="AF20" s="23"/>
      <c r="AG20" s="23"/>
      <c r="AH20" s="23" t="s">
        <v>367</v>
      </c>
      <c r="AI20" s="23"/>
      <c r="AJ20" s="23" t="s">
        <v>367</v>
      </c>
      <c r="AK20" s="23"/>
      <c r="AL20" s="23" t="s">
        <v>367</v>
      </c>
      <c r="AM20" s="23">
        <f t="shared" si="9"/>
        <v>7</v>
      </c>
      <c r="AN20" s="23">
        <f t="shared" si="10"/>
        <v>11</v>
      </c>
      <c r="AO20" s="23" t="str">
        <f t="shared" si="11"/>
        <v>MAYOR</v>
      </c>
      <c r="AP20" s="23">
        <f t="shared" si="12"/>
        <v>10</v>
      </c>
      <c r="AQ20" s="23">
        <f>+VLOOKUP(B19,'RIESGOS DE CORRUPCION'!D21:AN22,4,FALSE)</f>
        <v>1</v>
      </c>
      <c r="AR20" s="23">
        <f t="shared" si="13"/>
        <v>10</v>
      </c>
      <c r="AS20" s="23" t="str">
        <f t="shared" si="14"/>
        <v>ZONA DE RIESGO BAJA</v>
      </c>
      <c r="AT20" s="20"/>
      <c r="AU20" s="26">
        <v>55</v>
      </c>
      <c r="AV20" s="42" t="s">
        <v>183</v>
      </c>
      <c r="AW20" s="26" t="s">
        <v>184</v>
      </c>
    </row>
    <row r="21" spans="1:49" ht="64.900000000000006" customHeight="1" thickTop="1" thickBot="1" x14ac:dyDescent="0.3">
      <c r="A21" s="20"/>
      <c r="B21" s="26" t="str">
        <f>'RIESGOS DE CORRUPCION'!D24</f>
        <v>Incumplimiento al plan estratégico aprobado por la junta directiva de la Sociedad Tequendam</v>
      </c>
      <c r="C21" s="23" t="s">
        <v>367</v>
      </c>
      <c r="D21" s="23"/>
      <c r="E21" s="23" t="s">
        <v>367</v>
      </c>
      <c r="F21" s="23"/>
      <c r="G21" s="23" t="s">
        <v>367</v>
      </c>
      <c r="H21" s="23"/>
      <c r="I21" s="23"/>
      <c r="J21" s="23" t="s">
        <v>367</v>
      </c>
      <c r="K21" s="23" t="s">
        <v>367</v>
      </c>
      <c r="L21" s="23"/>
      <c r="M21" s="23" t="s">
        <v>367</v>
      </c>
      <c r="N21" s="23"/>
      <c r="O21" s="23" t="s">
        <v>367</v>
      </c>
      <c r="P21" s="23"/>
      <c r="Q21" s="23"/>
      <c r="R21" s="23" t="s">
        <v>367</v>
      </c>
      <c r="S21" s="23"/>
      <c r="T21" s="23" t="s">
        <v>367</v>
      </c>
      <c r="U21" s="23"/>
      <c r="V21" s="23" t="s">
        <v>367</v>
      </c>
      <c r="W21" s="23"/>
      <c r="X21" s="23" t="s">
        <v>367</v>
      </c>
      <c r="Y21" s="23"/>
      <c r="Z21" s="23" t="s">
        <v>367</v>
      </c>
      <c r="AA21" s="23"/>
      <c r="AB21" s="23" t="s">
        <v>367</v>
      </c>
      <c r="AC21" s="23"/>
      <c r="AD21" s="23" t="s">
        <v>367</v>
      </c>
      <c r="AE21" s="23" t="s">
        <v>367</v>
      </c>
      <c r="AF21" s="23"/>
      <c r="AG21" s="23"/>
      <c r="AH21" s="23" t="s">
        <v>367</v>
      </c>
      <c r="AI21" s="23"/>
      <c r="AJ21" s="23" t="s">
        <v>367</v>
      </c>
      <c r="AK21" s="23"/>
      <c r="AL21" s="23" t="s">
        <v>367</v>
      </c>
      <c r="AM21" s="23">
        <f>+COUNTIFS($C$5:$AL$5,"SI",$C21:$AL21,"X")</f>
        <v>7</v>
      </c>
      <c r="AN21" s="23">
        <f>+COUNTIFS($C$5:$AL$5,"NO",$C21:$AL21,"X")</f>
        <v>11</v>
      </c>
      <c r="AO21" s="23" t="str">
        <f t="shared" si="11"/>
        <v>MAYOR</v>
      </c>
      <c r="AP21" s="23">
        <f t="shared" si="12"/>
        <v>10</v>
      </c>
      <c r="AQ21" s="23">
        <v>1</v>
      </c>
      <c r="AR21" s="23">
        <f t="shared" si="13"/>
        <v>10</v>
      </c>
      <c r="AS21" s="23" t="str">
        <f t="shared" si="14"/>
        <v>ZONA DE RIESGO BAJA</v>
      </c>
      <c r="AT21" s="20"/>
      <c r="AU21" s="26">
        <v>60</v>
      </c>
      <c r="AV21" s="42" t="s">
        <v>183</v>
      </c>
      <c r="AW21" s="26" t="s">
        <v>184</v>
      </c>
    </row>
    <row r="22" spans="1:49" ht="64.900000000000006" customHeight="1" thickTop="1" thickBot="1" x14ac:dyDescent="0.3">
      <c r="A22" s="20"/>
      <c r="B22" s="26" t="str">
        <f>'RIESGOS DE CORRUPCION'!D25</f>
        <v xml:space="preserve">Perdida de la trazabilidad de la información de lso SIG
Soborno en procesos de auditorias.  </v>
      </c>
      <c r="C22" s="23" t="s">
        <v>367</v>
      </c>
      <c r="D22" s="23"/>
      <c r="E22" s="23" t="s">
        <v>367</v>
      </c>
      <c r="F22" s="23"/>
      <c r="G22" s="23"/>
      <c r="H22" s="23" t="s">
        <v>367</v>
      </c>
      <c r="I22" s="23"/>
      <c r="J22" s="23" t="s">
        <v>367</v>
      </c>
      <c r="K22" s="23" t="s">
        <v>367</v>
      </c>
      <c r="L22" s="23"/>
      <c r="M22" s="23" t="s">
        <v>367</v>
      </c>
      <c r="N22" s="23"/>
      <c r="O22" s="23" t="s">
        <v>367</v>
      </c>
      <c r="P22" s="23"/>
      <c r="Q22" s="23" t="s">
        <v>367</v>
      </c>
      <c r="R22" s="23"/>
      <c r="S22" s="23" t="s">
        <v>367</v>
      </c>
      <c r="T22" s="23"/>
      <c r="U22" s="23" t="s">
        <v>367</v>
      </c>
      <c r="V22" s="23"/>
      <c r="W22" s="23" t="s">
        <v>367</v>
      </c>
      <c r="X22" s="23"/>
      <c r="Y22" s="23" t="s">
        <v>367</v>
      </c>
      <c r="Z22" s="23"/>
      <c r="AA22" s="23" t="s">
        <v>367</v>
      </c>
      <c r="AB22" s="23"/>
      <c r="AC22" s="23" t="s">
        <v>367</v>
      </c>
      <c r="AD22" s="23"/>
      <c r="AE22" s="23" t="s">
        <v>367</v>
      </c>
      <c r="AF22" s="23"/>
      <c r="AG22" s="23" t="s">
        <v>367</v>
      </c>
      <c r="AH22" s="23"/>
      <c r="AI22" s="23" t="s">
        <v>367</v>
      </c>
      <c r="AJ22" s="23"/>
      <c r="AK22" s="23" t="s">
        <v>367</v>
      </c>
      <c r="AL22" s="23"/>
      <c r="AM22" s="23">
        <f>+COUNTIFS($C$5:$AL$5,"SI",$C21:$AL21,"X")</f>
        <v>7</v>
      </c>
      <c r="AN22" s="23">
        <f>+COUNTIFS($C$5:$AL$5,"NO",$C21:$AL21,"X")</f>
        <v>11</v>
      </c>
      <c r="AO22" s="23" t="str">
        <f t="shared" si="11"/>
        <v>MAYOR</v>
      </c>
      <c r="AP22" s="23">
        <f t="shared" si="12"/>
        <v>10</v>
      </c>
      <c r="AQ22" s="23">
        <f>+VLOOKUP(B21,'RIESGOS DE CORRUPCION'!D23:AN24,4,FALSE)</f>
        <v>2</v>
      </c>
      <c r="AR22" s="23">
        <f t="shared" si="13"/>
        <v>20</v>
      </c>
      <c r="AS22" s="23" t="str">
        <f t="shared" si="14"/>
        <v>ZONA DE RIESGO MODERADA</v>
      </c>
      <c r="AT22" s="20"/>
      <c r="AU22" s="26">
        <v>65</v>
      </c>
      <c r="AV22" s="42" t="s">
        <v>183</v>
      </c>
      <c r="AW22" s="26" t="s">
        <v>184</v>
      </c>
    </row>
    <row r="23" spans="1:49" ht="64.900000000000006" customHeight="1" thickTop="1" thickBot="1" x14ac:dyDescent="0.3">
      <c r="A23" s="20"/>
      <c r="B23" s="26" t="str">
        <f>'RIESGOS DE CORRUPCION'!D26</f>
        <v xml:space="preserve">Abuso de la información y el uso de la imagen o nombre de la Sociedad para el beneficio propio o de una empresa </v>
      </c>
      <c r="C23" s="23" t="s">
        <v>367</v>
      </c>
      <c r="D23" s="23"/>
      <c r="E23" s="23" t="s">
        <v>367</v>
      </c>
      <c r="F23" s="23"/>
      <c r="G23" s="23" t="s">
        <v>367</v>
      </c>
      <c r="H23" s="23"/>
      <c r="I23" s="23"/>
      <c r="J23" s="23" t="s">
        <v>367</v>
      </c>
      <c r="K23" s="23" t="s">
        <v>367</v>
      </c>
      <c r="L23" s="23"/>
      <c r="M23" s="23" t="s">
        <v>367</v>
      </c>
      <c r="N23" s="23"/>
      <c r="O23" s="23"/>
      <c r="P23" s="23" t="s">
        <v>367</v>
      </c>
      <c r="Q23" s="23"/>
      <c r="R23" s="23" t="s">
        <v>367</v>
      </c>
      <c r="S23" s="23" t="s">
        <v>367</v>
      </c>
      <c r="T23" s="23"/>
      <c r="U23" s="23"/>
      <c r="V23" s="23" t="s">
        <v>367</v>
      </c>
      <c r="W23" s="23"/>
      <c r="X23" s="23" t="s">
        <v>367</v>
      </c>
      <c r="Y23" s="23"/>
      <c r="Z23" s="23" t="s">
        <v>367</v>
      </c>
      <c r="AA23" s="23"/>
      <c r="AB23" s="23" t="s">
        <v>367</v>
      </c>
      <c r="AC23" s="23"/>
      <c r="AD23" s="23" t="s">
        <v>367</v>
      </c>
      <c r="AE23" s="23" t="s">
        <v>367</v>
      </c>
      <c r="AF23" s="23"/>
      <c r="AG23" s="23"/>
      <c r="AH23" s="23" t="s">
        <v>367</v>
      </c>
      <c r="AI23" s="23"/>
      <c r="AJ23" s="23" t="s">
        <v>367</v>
      </c>
      <c r="AK23" s="23"/>
      <c r="AL23" s="23" t="s">
        <v>367</v>
      </c>
      <c r="AM23" s="23">
        <f>+COUNTIFS($C$5:$AL$5,"SI",$C22:$AL22,"X")</f>
        <v>16</v>
      </c>
      <c r="AN23" s="23">
        <f>+COUNTIFS($C$5:$AL$5,"NO",$C22:$AL22,"X")</f>
        <v>2</v>
      </c>
      <c r="AO23" s="23" t="str">
        <f t="shared" si="11"/>
        <v>CATASTRÓFICO</v>
      </c>
      <c r="AP23" s="23">
        <f t="shared" si="12"/>
        <v>20</v>
      </c>
      <c r="AQ23" s="23">
        <f>+VLOOKUP(B22,'RIESGOS DE CORRUPCION'!D24:AN25,4,FALSE)</f>
        <v>1</v>
      </c>
      <c r="AR23" s="23">
        <f t="shared" si="13"/>
        <v>20</v>
      </c>
      <c r="AS23" s="23" t="str">
        <f t="shared" si="14"/>
        <v>ZONA DE RIESGO MODERADA</v>
      </c>
      <c r="AT23" s="20"/>
      <c r="AU23" s="26">
        <v>80</v>
      </c>
      <c r="AV23" s="42" t="s">
        <v>183</v>
      </c>
      <c r="AW23" s="26" t="s">
        <v>184</v>
      </c>
    </row>
    <row r="24" spans="1:49" ht="64.900000000000006" customHeight="1" thickTop="1" thickBot="1" x14ac:dyDescent="0.3">
      <c r="A24" s="20"/>
      <c r="B24" s="26" t="e">
        <f>'RIESGOS DE CORRUPCION'!#REF!</f>
        <v>#REF!</v>
      </c>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f>+COUNTIFS($C$5:$AL$5,"SI",$C23:$AL23,"X")</f>
        <v>7</v>
      </c>
      <c r="AN24" s="23">
        <f>+COUNTIFS($C$5:$AL$5,"NO",$C23:$AL23,"X")</f>
        <v>11</v>
      </c>
      <c r="AO24" s="23" t="str">
        <f t="shared" si="11"/>
        <v>MAYOR</v>
      </c>
      <c r="AP24" s="23">
        <f t="shared" si="12"/>
        <v>10</v>
      </c>
      <c r="AQ24" s="23">
        <f>+VLOOKUP(B23,'RIESGOS DE CORRUPCION'!D25:AN26,4,FALSE)</f>
        <v>1</v>
      </c>
      <c r="AR24" s="23">
        <f t="shared" si="13"/>
        <v>10</v>
      </c>
      <c r="AS24" s="23" t="str">
        <f t="shared" si="14"/>
        <v>ZONA DE RIESGO BAJA</v>
      </c>
      <c r="AT24" s="20"/>
      <c r="AU24" s="29"/>
      <c r="AV24" s="35"/>
      <c r="AW24" s="29"/>
    </row>
    <row r="25" spans="1:49" ht="64.900000000000006" customHeight="1" thickTop="1" thickBot="1" x14ac:dyDescent="0.3">
      <c r="A25" s="20"/>
      <c r="B25" s="26" t="s">
        <v>404</v>
      </c>
      <c r="C25" s="23" t="s">
        <v>367</v>
      </c>
      <c r="D25" s="23"/>
      <c r="E25" s="23" t="s">
        <v>367</v>
      </c>
      <c r="F25" s="23"/>
      <c r="G25" s="23"/>
      <c r="H25" s="23" t="s">
        <v>367</v>
      </c>
      <c r="I25" s="23"/>
      <c r="J25" s="23" t="s">
        <v>367</v>
      </c>
      <c r="K25" s="23" t="s">
        <v>367</v>
      </c>
      <c r="L25" s="23"/>
      <c r="M25" s="23" t="s">
        <v>367</v>
      </c>
      <c r="N25" s="23"/>
      <c r="O25" s="23"/>
      <c r="P25" s="23" t="s">
        <v>367</v>
      </c>
      <c r="Q25" s="23"/>
      <c r="R25" s="23" t="s">
        <v>367</v>
      </c>
      <c r="S25" s="23"/>
      <c r="T25" s="23" t="s">
        <v>367</v>
      </c>
      <c r="U25" s="23" t="s">
        <v>367</v>
      </c>
      <c r="V25" s="23"/>
      <c r="W25" s="23" t="s">
        <v>367</v>
      </c>
      <c r="X25" s="23"/>
      <c r="Y25" s="23" t="s">
        <v>367</v>
      </c>
      <c r="Z25" s="23"/>
      <c r="AA25" s="23" t="s">
        <v>367</v>
      </c>
      <c r="AB25" s="23"/>
      <c r="AC25" s="23" t="s">
        <v>367</v>
      </c>
      <c r="AD25" s="23"/>
      <c r="AE25" s="23"/>
      <c r="AF25" s="23" t="s">
        <v>367</v>
      </c>
      <c r="AG25" s="23" t="s">
        <v>367</v>
      </c>
      <c r="AH25" s="23"/>
      <c r="AI25" s="23"/>
      <c r="AJ25" s="23" t="s">
        <v>367</v>
      </c>
      <c r="AK25" s="23"/>
      <c r="AL25" s="23" t="s">
        <v>367</v>
      </c>
      <c r="AM25" s="23">
        <f>+COUNTIFS($C$5:$AL$5,"SI",$C25:$AL25,"X")</f>
        <v>10</v>
      </c>
      <c r="AN25" s="23">
        <f>+COUNTIFS($C$5:$AL$5,"NO",$C25:$AL25,"X")</f>
        <v>8</v>
      </c>
      <c r="AO25" s="23" t="str">
        <f t="shared" si="11"/>
        <v>MAYOR</v>
      </c>
      <c r="AP25" s="23">
        <f t="shared" si="12"/>
        <v>10</v>
      </c>
      <c r="AQ25" s="23">
        <v>1</v>
      </c>
      <c r="AR25" s="23">
        <f t="shared" si="13"/>
        <v>10</v>
      </c>
      <c r="AS25" s="23" t="str">
        <f t="shared" si="14"/>
        <v>ZONA DE RIESGO BAJA</v>
      </c>
      <c r="AT25" s="20"/>
      <c r="AU25" s="29"/>
      <c r="AV25" s="35"/>
      <c r="AW25" s="29"/>
    </row>
    <row r="26" spans="1:49" ht="64.900000000000006" customHeight="1" thickTop="1" thickBot="1" x14ac:dyDescent="0.3">
      <c r="A26" s="20"/>
      <c r="B26" s="26" t="s">
        <v>385</v>
      </c>
      <c r="C26" s="23"/>
      <c r="D26" s="23" t="s">
        <v>367</v>
      </c>
      <c r="E26" s="23" t="s">
        <v>367</v>
      </c>
      <c r="F26" s="23"/>
      <c r="G26" s="23"/>
      <c r="H26" s="23" t="s">
        <v>367</v>
      </c>
      <c r="I26" s="23"/>
      <c r="J26" s="23" t="s">
        <v>367</v>
      </c>
      <c r="K26" s="23"/>
      <c r="L26" s="23" t="s">
        <v>367</v>
      </c>
      <c r="M26" s="23" t="s">
        <v>367</v>
      </c>
      <c r="N26" s="23"/>
      <c r="O26" s="23" t="s">
        <v>367</v>
      </c>
      <c r="P26" s="23"/>
      <c r="Q26" s="23"/>
      <c r="R26" s="23" t="s">
        <v>367</v>
      </c>
      <c r="S26" s="23"/>
      <c r="T26" s="23" t="s">
        <v>367</v>
      </c>
      <c r="U26" s="23"/>
      <c r="V26" s="23" t="s">
        <v>367</v>
      </c>
      <c r="W26" s="23" t="s">
        <v>367</v>
      </c>
      <c r="X26" s="23"/>
      <c r="Y26" s="23" t="s">
        <v>367</v>
      </c>
      <c r="Z26" s="23"/>
      <c r="AA26" s="23"/>
      <c r="AB26" s="23" t="s">
        <v>367</v>
      </c>
      <c r="AC26" s="23"/>
      <c r="AD26" s="23" t="s">
        <v>367</v>
      </c>
      <c r="AE26" s="23"/>
      <c r="AF26" s="23" t="s">
        <v>367</v>
      </c>
      <c r="AG26" s="23"/>
      <c r="AH26" s="23" t="s">
        <v>367</v>
      </c>
      <c r="AI26" s="23"/>
      <c r="AJ26" s="23" t="s">
        <v>367</v>
      </c>
      <c r="AK26" s="23"/>
      <c r="AL26" s="23" t="s">
        <v>367</v>
      </c>
      <c r="AM26" s="23">
        <f>+COUNTIFS($C$5:$AL$5,"SI",$C25:$AL25,"X")</f>
        <v>10</v>
      </c>
      <c r="AN26" s="23">
        <f>+COUNTIFS($C$5:$AL$5,"NO",$C25:$AL25,"X")</f>
        <v>8</v>
      </c>
      <c r="AO26" s="23" t="str">
        <f t="shared" si="11"/>
        <v>MAYOR</v>
      </c>
      <c r="AP26" s="23">
        <f t="shared" si="12"/>
        <v>10</v>
      </c>
      <c r="AQ26" s="23">
        <v>1</v>
      </c>
      <c r="AR26" s="23">
        <f t="shared" si="13"/>
        <v>10</v>
      </c>
      <c r="AS26" s="23" t="str">
        <f>+VLOOKUP(AR26,$AU$10:$AW$23,3,FALSE)</f>
        <v>ZONA DE RIESGO BAJA</v>
      </c>
      <c r="AT26" s="20"/>
      <c r="AU26" s="29"/>
      <c r="AV26" s="35"/>
      <c r="AW26" s="29"/>
    </row>
    <row r="27" spans="1:49" ht="73.900000000000006" customHeight="1" thickTop="1" thickBot="1" x14ac:dyDescent="0.3">
      <c r="A27" s="20"/>
      <c r="AM27" s="23">
        <f>+COUNTIFS($C$5:$AL$5,"SI",$C26:$AL26,"X")</f>
        <v>5</v>
      </c>
      <c r="AN27" s="23">
        <f>+COUNTIFS($C$5:$AL$5,"NO",$C26:$AL26,"X")</f>
        <v>13</v>
      </c>
      <c r="AO27" s="23" t="str">
        <f t="shared" si="11"/>
        <v>MODERADO</v>
      </c>
      <c r="AP27" s="23">
        <f t="shared" si="12"/>
        <v>5</v>
      </c>
      <c r="AQ27" s="23">
        <f>+VLOOKUP(B26,'RIESGOS DE CORRUPCION'!D27:AN28,4,FALSE)</f>
        <v>1</v>
      </c>
      <c r="AR27" s="23">
        <f t="shared" si="13"/>
        <v>5</v>
      </c>
      <c r="AS27" s="23" t="str">
        <f>+VLOOKUP(AR27,$AU$10:$AW$22,3,FALSE)</f>
        <v>ZONA DE RIESGO BAJA</v>
      </c>
      <c r="AT27" s="20"/>
      <c r="AU27" s="26"/>
      <c r="AV27" s="42"/>
      <c r="AW27" s="26"/>
    </row>
    <row r="28" spans="1:49" ht="45.75" customHeight="1" thickTop="1" thickBot="1" x14ac:dyDescent="0.3">
      <c r="A28" s="20"/>
      <c r="B28" s="26"/>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0"/>
      <c r="AU28" s="26"/>
      <c r="AV28" s="42"/>
      <c r="AW28" s="26"/>
    </row>
    <row r="29" spans="1:49" ht="14.5" thickTop="1" thickBot="1" x14ac:dyDescent="0.3">
      <c r="A29" s="20"/>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0"/>
      <c r="AU29" s="26"/>
      <c r="AV29" s="42"/>
      <c r="AW29" s="26"/>
    </row>
    <row r="30" spans="1:49" ht="14.5" thickTop="1" thickBot="1" x14ac:dyDescent="0.3">
      <c r="A30" s="20"/>
      <c r="B30" s="26"/>
      <c r="AT30" s="20"/>
      <c r="AU30" s="26"/>
      <c r="AV30" s="42"/>
      <c r="AW30" s="26"/>
    </row>
    <row r="31" spans="1:49" ht="14.5" thickTop="1" thickBot="1" x14ac:dyDescent="0.3">
      <c r="A31" s="20"/>
      <c r="B31" s="32"/>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6"/>
      <c r="AV31" s="42"/>
      <c r="AW31" s="26"/>
    </row>
    <row r="32" spans="1:49" ht="14" thickTop="1" x14ac:dyDescent="0.25">
      <c r="A32" s="20"/>
      <c r="B32" s="32"/>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row>
    <row r="33" spans="1:46" x14ac:dyDescent="0.25">
      <c r="A33" s="20"/>
      <c r="AT33" s="20"/>
    </row>
    <row r="34" spans="1:46" x14ac:dyDescent="0.25"/>
    <row r="35" spans="1:46" x14ac:dyDescent="0.25"/>
    <row r="36" spans="1:46" x14ac:dyDescent="0.25"/>
    <row r="37" spans="1:46" x14ac:dyDescent="0.25"/>
    <row r="38" spans="1:46" x14ac:dyDescent="0.25"/>
    <row r="39" spans="1:46" ht="15" hidden="1" customHeight="1" x14ac:dyDescent="0.25"/>
    <row r="40" spans="1:46" hidden="1" x14ac:dyDescent="0.25">
      <c r="B40" s="31" t="s">
        <v>133</v>
      </c>
    </row>
    <row r="41" spans="1:46" x14ac:dyDescent="0.25"/>
    <row r="42" spans="1:46" x14ac:dyDescent="0.25"/>
    <row r="43" spans="1:46" x14ac:dyDescent="0.25"/>
    <row r="44" spans="1:46" x14ac:dyDescent="0.25"/>
    <row r="45" spans="1:46" x14ac:dyDescent="0.25"/>
    <row r="46" spans="1:46" x14ac:dyDescent="0.25"/>
    <row r="47" spans="1:46" x14ac:dyDescent="0.25"/>
    <row r="48" spans="1:46" x14ac:dyDescent="0.25"/>
    <row r="49" x14ac:dyDescent="0.25"/>
    <row r="50" x14ac:dyDescent="0.25"/>
    <row r="51" x14ac:dyDescent="0.25"/>
    <row r="52" x14ac:dyDescent="0.25"/>
    <row r="53" x14ac:dyDescent="0.25"/>
    <row r="54" x14ac:dyDescent="0.25"/>
    <row r="55" x14ac:dyDescent="0.25"/>
    <row r="56" x14ac:dyDescent="0.25"/>
    <row r="57" x14ac:dyDescent="0.25"/>
  </sheetData>
  <mergeCells count="46">
    <mergeCell ref="AU8:AW8"/>
    <mergeCell ref="Y4:Z4"/>
    <mergeCell ref="AA4:AB4"/>
    <mergeCell ref="AC4:AD4"/>
    <mergeCell ref="AE4:AF4"/>
    <mergeCell ref="AG4:AH4"/>
    <mergeCell ref="AI4:AJ4"/>
    <mergeCell ref="AS3:AS5"/>
    <mergeCell ref="M4:N4"/>
    <mergeCell ref="O4:P4"/>
    <mergeCell ref="Q4:R4"/>
    <mergeCell ref="S4:T4"/>
    <mergeCell ref="U4:V4"/>
    <mergeCell ref="W4:X4"/>
    <mergeCell ref="AO3:AO5"/>
    <mergeCell ref="AP3:AP5"/>
    <mergeCell ref="AQ3:AQ5"/>
    <mergeCell ref="AR3:AR5"/>
    <mergeCell ref="AE3:AF3"/>
    <mergeCell ref="AG3:AH3"/>
    <mergeCell ref="AI3:AJ3"/>
    <mergeCell ref="AK3:AL3"/>
    <mergeCell ref="AM3:AM5"/>
    <mergeCell ref="AN3:AN5"/>
    <mergeCell ref="AK4:AL4"/>
    <mergeCell ref="AC3:AD3"/>
    <mergeCell ref="C4:D4"/>
    <mergeCell ref="E4:F4"/>
    <mergeCell ref="G4:H4"/>
    <mergeCell ref="I4:J4"/>
    <mergeCell ref="K4:L4"/>
    <mergeCell ref="B2:AS2"/>
    <mergeCell ref="AU2:AW2"/>
    <mergeCell ref="C3:D3"/>
    <mergeCell ref="E3:F3"/>
    <mergeCell ref="G3:H3"/>
    <mergeCell ref="I3:J3"/>
    <mergeCell ref="K3:L3"/>
    <mergeCell ref="M3:N3"/>
    <mergeCell ref="O3:P3"/>
    <mergeCell ref="Q3:R3"/>
    <mergeCell ref="S3:T3"/>
    <mergeCell ref="U3:V3"/>
    <mergeCell ref="W3:X3"/>
    <mergeCell ref="Y3:Z3"/>
    <mergeCell ref="AA3:AB3"/>
  </mergeCells>
  <conditionalFormatting sqref="C1:C26 E1:E26 G1:G26 I1:I26 K1:K26 M1:M26 O1:O26 Q1:Q26 S1:S26 U1:U26 W1:W26 Y1:Y26 AA1:AA26 AC1:AC26 AE1:AE26 AG1:AG26 AI1:AI26 AK1:AK26 C28:C29 E28:E29 G28:G29 I28:I29 K28:K29 M28:M29 O28:O29 Q28:Q29 S28:S29 U28:U29 W28:W29 Y28:Y29 AA28:AA29 AC28:AC29 AE28:AE29 AG28:AG29 AI28:AI29 AK28:AK29 C31:C1048576 E31:E1048576 G31:G1048576 I31:I1048576 K31:K1048576 M31:M1048576 O31:O1048576 Q31:Q1048576 S31:S1048576 U31:U1048576 W31:W1048576 Y31:Y1048576 AA31:AA1048576 AC31:AC1048576 AE31:AE1048576 AG31:AG1048576 AI31:AI1048576 AK31:AK1048576">
    <cfRule type="cellIs" dxfId="3" priority="6" operator="equal">
      <formula>"X"</formula>
    </cfRule>
  </conditionalFormatting>
  <conditionalFormatting sqref="D1:D26 F1:F26 H1:H26 J1:J26 L1:L26 N1:N26 P1:P26 R1:R26 T1:T26 V1:V26 X1:X26 Z1:Z26 AB1:AB26 AD1:AD26 AF1:AF26 AH1:AH26 AJ1:AJ26 AL1:AL26 D28:D29 F28:F29 H28:H29 J28:J29 L28:L29 N28:N29 P28:P29 R28:R29 T28:T29 V28:V29 X28:X29 Z28:Z29 AB28:AB29 AD28:AD29 AF28:AF29 AH28:AH29 AJ28:AJ29 AL28:AL29 D31:D1048576 F31:F1048576 H31:H1048576 J31:J1048576 L31:L1048576 N31:N1048576 P31:P1048576 R31:R1048576 T31:T1048576 V31:V1048576 X31:X1048576 Z31:Z1048576 AB31:AB1048576 AD31:AD1048576 AF31:AF1048576 AH31:AH1048576 AJ31:AJ1048576 AL31:AL1048576">
    <cfRule type="cellIs" dxfId="2" priority="5" operator="equal">
      <formula>"X"</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H56"/>
  <sheetViews>
    <sheetView zoomScale="69" zoomScaleNormal="69" workbookViewId="0">
      <pane ySplit="5" topLeftCell="A6" activePane="bottomLeft" state="frozen"/>
      <selection activeCell="H31" sqref="H31:H32"/>
      <selection pane="bottomLeft" activeCell="A35" sqref="A35"/>
    </sheetView>
  </sheetViews>
  <sheetFormatPr baseColWidth="10" defaultColWidth="0" defaultRowHeight="13.5" zeroHeight="1" x14ac:dyDescent="0.25"/>
  <cols>
    <col min="1" max="1" width="5.33203125" style="20" customWidth="1"/>
    <col min="2" max="2" width="27.58203125" style="20" customWidth="1"/>
    <col min="3" max="16" width="10.25" style="20" customWidth="1"/>
    <col min="17" max="17" width="17.08203125" style="20" customWidth="1"/>
    <col min="18" max="18" width="22.1640625" style="20" customWidth="1"/>
    <col min="19" max="19" width="16.5" style="20" customWidth="1"/>
    <col min="20" max="20" width="18.58203125" style="20" customWidth="1"/>
    <col min="21" max="21" width="15.9140625" style="20" customWidth="1"/>
    <col min="22" max="22" width="13.9140625" style="20" customWidth="1"/>
    <col min="23" max="23" width="13.6640625" style="20" customWidth="1"/>
    <col min="24" max="24" width="13.4140625" style="20" customWidth="1"/>
    <col min="25" max="25" width="15.58203125" style="20" customWidth="1"/>
    <col min="26" max="26" width="19.25" style="20" customWidth="1"/>
    <col min="27" max="27" width="15.9140625" style="20" customWidth="1"/>
    <col min="28" max="28" width="17.25" style="25" customWidth="1"/>
    <col min="29" max="29" width="10.25" customWidth="1"/>
    <col min="30" max="30" width="13.25" customWidth="1"/>
    <col min="31" max="31" width="16.25" customWidth="1"/>
    <col min="32" max="33" width="10.25" customWidth="1"/>
    <col min="34" max="34" width="10.25" style="20" customWidth="1"/>
    <col min="35" max="16384" width="10.25" style="20" hidden="1"/>
  </cols>
  <sheetData>
    <row r="1" spans="1:34" customFormat="1" ht="14" thickBot="1" x14ac:dyDescent="0.3">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5"/>
      <c r="AC1" s="20"/>
      <c r="AD1" s="20"/>
      <c r="AE1" s="20"/>
      <c r="AF1" s="20"/>
      <c r="AG1" s="20"/>
      <c r="AH1" s="20"/>
    </row>
    <row r="2" spans="1:34" customFormat="1" ht="31.5" customHeight="1" thickTop="1" thickBot="1" x14ac:dyDescent="0.3">
      <c r="A2" s="20"/>
      <c r="B2" s="247" t="s">
        <v>185</v>
      </c>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0"/>
      <c r="AD2" s="249" t="s">
        <v>186</v>
      </c>
      <c r="AE2" s="250"/>
      <c r="AF2" s="20"/>
      <c r="AG2" s="20"/>
      <c r="AH2" s="20"/>
    </row>
    <row r="3" spans="1:34" customFormat="1" ht="16.5" customHeight="1" thickTop="1" thickBot="1" x14ac:dyDescent="0.3">
      <c r="A3" s="20"/>
      <c r="B3" s="36" t="s">
        <v>136</v>
      </c>
      <c r="C3" s="240">
        <v>1</v>
      </c>
      <c r="D3" s="240"/>
      <c r="E3" s="240">
        <v>2</v>
      </c>
      <c r="F3" s="240"/>
      <c r="G3" s="240">
        <v>3</v>
      </c>
      <c r="H3" s="240"/>
      <c r="I3" s="240">
        <v>4</v>
      </c>
      <c r="J3" s="240"/>
      <c r="K3" s="240">
        <v>5</v>
      </c>
      <c r="L3" s="240"/>
      <c r="M3" s="240">
        <v>6</v>
      </c>
      <c r="N3" s="240"/>
      <c r="O3" s="240">
        <v>7</v>
      </c>
      <c r="P3" s="240"/>
      <c r="Q3" s="242" t="s">
        <v>187</v>
      </c>
      <c r="R3" s="242" t="s">
        <v>188</v>
      </c>
      <c r="S3" s="242" t="s">
        <v>189</v>
      </c>
      <c r="T3" s="242" t="s">
        <v>190</v>
      </c>
      <c r="U3" s="242" t="s">
        <v>191</v>
      </c>
      <c r="V3" s="242" t="s">
        <v>192</v>
      </c>
      <c r="W3" s="242" t="s">
        <v>193</v>
      </c>
      <c r="X3" s="242" t="s">
        <v>194</v>
      </c>
      <c r="Y3" s="242" t="s">
        <v>195</v>
      </c>
      <c r="Z3" s="242" t="s">
        <v>196</v>
      </c>
      <c r="AA3" s="242" t="s">
        <v>197</v>
      </c>
      <c r="AB3" s="242" t="s">
        <v>198</v>
      </c>
      <c r="AC3" s="20"/>
      <c r="AD3" s="254" t="s">
        <v>199</v>
      </c>
      <c r="AE3" s="251" t="s">
        <v>200</v>
      </c>
      <c r="AF3" s="20"/>
      <c r="AG3" s="20"/>
      <c r="AH3" s="20"/>
    </row>
    <row r="4" spans="1:34" customFormat="1" ht="70.5" customHeight="1" thickTop="1" thickBot="1" x14ac:dyDescent="0.3">
      <c r="A4" s="20"/>
      <c r="B4" s="37" t="s">
        <v>201</v>
      </c>
      <c r="C4" s="241" t="s">
        <v>202</v>
      </c>
      <c r="D4" s="241"/>
      <c r="E4" s="253" t="s">
        <v>203</v>
      </c>
      <c r="F4" s="253"/>
      <c r="G4" s="253" t="s">
        <v>204</v>
      </c>
      <c r="H4" s="253"/>
      <c r="I4" s="253" t="s">
        <v>205</v>
      </c>
      <c r="J4" s="253"/>
      <c r="K4" s="253" t="s">
        <v>206</v>
      </c>
      <c r="L4" s="253"/>
      <c r="M4" s="253" t="s">
        <v>207</v>
      </c>
      <c r="N4" s="253"/>
      <c r="O4" s="241" t="s">
        <v>208</v>
      </c>
      <c r="P4" s="241"/>
      <c r="Q4" s="242"/>
      <c r="R4" s="242"/>
      <c r="S4" s="242"/>
      <c r="T4" s="242"/>
      <c r="U4" s="242"/>
      <c r="V4" s="242"/>
      <c r="W4" s="242"/>
      <c r="X4" s="242"/>
      <c r="Y4" s="242"/>
      <c r="Z4" s="242"/>
      <c r="AA4" s="242"/>
      <c r="AB4" s="242"/>
      <c r="AC4" s="20"/>
      <c r="AD4" s="255"/>
      <c r="AE4" s="252"/>
      <c r="AF4" s="20"/>
      <c r="AG4" s="20"/>
      <c r="AH4" s="20"/>
    </row>
    <row r="5" spans="1:34" customFormat="1" ht="14.5" thickTop="1" thickBot="1" x14ac:dyDescent="0.3">
      <c r="A5" s="20"/>
      <c r="B5" s="38" t="s">
        <v>168</v>
      </c>
      <c r="C5" s="36" t="s">
        <v>169</v>
      </c>
      <c r="D5" s="36" t="s">
        <v>170</v>
      </c>
      <c r="E5" s="36" t="s">
        <v>169</v>
      </c>
      <c r="F5" s="36" t="s">
        <v>170</v>
      </c>
      <c r="G5" s="36" t="s">
        <v>169</v>
      </c>
      <c r="H5" s="36" t="s">
        <v>170</v>
      </c>
      <c r="I5" s="36" t="s">
        <v>169</v>
      </c>
      <c r="J5" s="36" t="s">
        <v>170</v>
      </c>
      <c r="K5" s="36" t="s">
        <v>169</v>
      </c>
      <c r="L5" s="36" t="s">
        <v>170</v>
      </c>
      <c r="M5" s="36" t="s">
        <v>169</v>
      </c>
      <c r="N5" s="36" t="s">
        <v>170</v>
      </c>
      <c r="O5" s="36" t="s">
        <v>169</v>
      </c>
      <c r="P5" s="36" t="s">
        <v>170</v>
      </c>
      <c r="Q5" s="242"/>
      <c r="R5" s="242"/>
      <c r="S5" s="242"/>
      <c r="T5" s="242"/>
      <c r="U5" s="242"/>
      <c r="V5" s="242"/>
      <c r="W5" s="242"/>
      <c r="X5" s="242"/>
      <c r="Y5" s="242"/>
      <c r="Z5" s="242"/>
      <c r="AA5" s="242"/>
      <c r="AB5" s="242"/>
      <c r="AC5" s="20"/>
      <c r="AD5" s="21" t="s">
        <v>209</v>
      </c>
      <c r="AE5" s="26">
        <v>0</v>
      </c>
      <c r="AF5" s="20"/>
      <c r="AG5" s="20"/>
      <c r="AH5" s="20"/>
    </row>
    <row r="6" spans="1:34" customFormat="1" ht="23" customHeight="1" thickTop="1" thickBot="1" x14ac:dyDescent="0.3">
      <c r="A6" s="20"/>
      <c r="B6" s="260" t="str">
        <f>+'EVALUACIÓN DEL RIESGO'!B6</f>
        <v xml:space="preserve">Controles sobre los tiempos de los contratos </v>
      </c>
      <c r="C6" s="23" t="s">
        <v>369</v>
      </c>
      <c r="D6" s="23"/>
      <c r="E6" s="23" t="s">
        <v>367</v>
      </c>
      <c r="F6" s="23"/>
      <c r="G6" s="23"/>
      <c r="H6" s="23" t="s">
        <v>367</v>
      </c>
      <c r="I6" s="23" t="s">
        <v>367</v>
      </c>
      <c r="J6" s="23"/>
      <c r="K6" s="23" t="s">
        <v>367</v>
      </c>
      <c r="L6" s="23"/>
      <c r="M6" s="23" t="s">
        <v>367</v>
      </c>
      <c r="N6" s="23"/>
      <c r="O6" s="23"/>
      <c r="P6" s="23" t="s">
        <v>367</v>
      </c>
      <c r="Q6" s="245">
        <f>+SUM(C7:P7)</f>
        <v>55</v>
      </c>
      <c r="R6" s="245">
        <f>+IF(Q6&lt;=50,0,IF(AND(Q6&gt;50,Q6&lt;=75),1,IF(Q6&gt;75,2)))</f>
        <v>1</v>
      </c>
      <c r="S6" s="245">
        <f>R6</f>
        <v>1</v>
      </c>
      <c r="T6" s="245" t="str">
        <f>+CONCATENATE(S6,R6)</f>
        <v>11</v>
      </c>
      <c r="U6" s="245">
        <f>+VLOOKUP(B6,'EVALUACIÓN DEL RIESGO'!$B$6:$AS$29,41,FALSE)</f>
        <v>10</v>
      </c>
      <c r="V6" s="245" t="str">
        <f>+CONCATENATE(U6,R6)</f>
        <v>101</v>
      </c>
      <c r="W6" s="245">
        <f>+VLOOKUP(T6,$AF$10:$AG$25,2,FALSE)</f>
        <v>1</v>
      </c>
      <c r="X6" s="245" t="str">
        <f>+VLOOKUP(W6,'[1]MATRIZ RIESGOS ANTICORRUPCIÓN'!$AA$3:$AB$7,2,FALSE)</f>
        <v>RARA VEZ</v>
      </c>
      <c r="Y6" s="245">
        <f>+VLOOKUP(V6,$AF$30:$AG$38,2,FALSE)</f>
        <v>5</v>
      </c>
      <c r="Z6" s="245" t="str">
        <f>+VLOOKUP(Y6,'[1]MATRIZ RIESGOS ANTICORRUPCIÓN'!$AC$3:$AD$5,2,FALSE)</f>
        <v>MODERADO</v>
      </c>
      <c r="AA6" s="245">
        <f>+Y6*W6</f>
        <v>5</v>
      </c>
      <c r="AB6" s="256" t="str">
        <f>+VLOOKUP(AA6,'EVALUACIÓN DEL RIESGO'!$AU$10:$AW$23,3,FALSE)</f>
        <v>ZONA DE RIESGO BAJA</v>
      </c>
      <c r="AC6" s="20"/>
      <c r="AD6" s="21" t="s">
        <v>210</v>
      </c>
      <c r="AE6" s="26">
        <v>1</v>
      </c>
      <c r="AF6" s="20"/>
      <c r="AG6" s="20"/>
      <c r="AH6" s="20"/>
    </row>
    <row r="7" spans="1:34" customFormat="1" ht="20.5" customHeight="1" thickTop="1" thickBot="1" x14ac:dyDescent="0.3">
      <c r="A7" s="20"/>
      <c r="B7" s="261"/>
      <c r="C7" s="258">
        <f>+IF(C6="X",15,0)</f>
        <v>15</v>
      </c>
      <c r="D7" s="259"/>
      <c r="E7" s="258">
        <f>+IF(E6="X",5,0)</f>
        <v>5</v>
      </c>
      <c r="F7" s="259"/>
      <c r="G7" s="258">
        <f>+IF(G6="X",15,0)</f>
        <v>0</v>
      </c>
      <c r="H7" s="259"/>
      <c r="I7" s="258">
        <f>+IF(I6="X",10,0)</f>
        <v>10</v>
      </c>
      <c r="J7" s="259"/>
      <c r="K7" s="258">
        <f>+IF(K6="X",15,0)</f>
        <v>15</v>
      </c>
      <c r="L7" s="259"/>
      <c r="M7" s="258">
        <f>+IF(M6="X",10,0)</f>
        <v>10</v>
      </c>
      <c r="N7" s="259"/>
      <c r="O7" s="258">
        <f>+IF(O6="X",30,0)</f>
        <v>0</v>
      </c>
      <c r="P7" s="259"/>
      <c r="Q7" s="246"/>
      <c r="R7" s="246"/>
      <c r="S7" s="246"/>
      <c r="T7" s="246"/>
      <c r="U7" s="246"/>
      <c r="V7" s="246"/>
      <c r="W7" s="246"/>
      <c r="X7" s="246"/>
      <c r="Y7" s="246"/>
      <c r="Z7" s="246"/>
      <c r="AA7" s="246"/>
      <c r="AB7" s="257"/>
      <c r="AC7" s="20"/>
      <c r="AD7" s="21" t="s">
        <v>211</v>
      </c>
      <c r="AE7" s="26">
        <v>2</v>
      </c>
      <c r="AF7" s="20"/>
      <c r="AG7" s="20"/>
      <c r="AH7" s="20"/>
    </row>
    <row r="8" spans="1:34" customFormat="1" ht="40.9" customHeight="1" thickTop="1" thickBot="1" x14ac:dyDescent="0.3">
      <c r="A8" s="20"/>
      <c r="B8" s="256" t="str">
        <f>+'EVALUACIÓN DEL RIESGO'!B7</f>
        <v>Sobrejecución contractual</v>
      </c>
      <c r="C8" s="23" t="s">
        <v>367</v>
      </c>
      <c r="D8" s="23"/>
      <c r="E8" s="23" t="s">
        <v>367</v>
      </c>
      <c r="F8" s="23"/>
      <c r="G8" s="23"/>
      <c r="H8" s="23" t="s">
        <v>367</v>
      </c>
      <c r="I8" s="23" t="s">
        <v>367</v>
      </c>
      <c r="J8" s="23"/>
      <c r="K8" s="23" t="s">
        <v>367</v>
      </c>
      <c r="L8" s="23"/>
      <c r="M8" s="23" t="s">
        <v>367</v>
      </c>
      <c r="N8" s="23"/>
      <c r="O8" s="23"/>
      <c r="P8" s="23" t="s">
        <v>367</v>
      </c>
      <c r="Q8" s="245">
        <f>+SUM(C9:P9)</f>
        <v>55</v>
      </c>
      <c r="R8" s="245">
        <f t="shared" ref="R8" si="0">+IF(Q8&lt;=50,0,IF(AND(Q8&gt;50,Q8&lt;=75),1,IF(Q8&gt;75,2)))</f>
        <v>1</v>
      </c>
      <c r="S8" s="245">
        <f>R8</f>
        <v>1</v>
      </c>
      <c r="T8" s="245" t="str">
        <f t="shared" ref="T8" si="1">+CONCATENATE(S8,R8)</f>
        <v>11</v>
      </c>
      <c r="U8" s="245">
        <f>+VLOOKUP(B8,'EVALUACIÓN DEL RIESGO'!$B$6:$AS$29,41,FALSE)</f>
        <v>10</v>
      </c>
      <c r="V8" s="245" t="str">
        <f t="shared" ref="V8" si="2">+CONCATENATE(U8,R8)</f>
        <v>101</v>
      </c>
      <c r="W8" s="245">
        <f>+VLOOKUP(T8,$AF$10:$AG$25,2,FALSE)</f>
        <v>1</v>
      </c>
      <c r="X8" s="245" t="str">
        <f>+VLOOKUP(W8,'[1]MATRIZ RIESGOS ANTICORRUPCIÓN'!$AA$3:$AB$7,2,FALSE)</f>
        <v>RARA VEZ</v>
      </c>
      <c r="Y8" s="245">
        <f>+VLOOKUP(V8,$AF$30:$AG$38,2,FALSE)</f>
        <v>5</v>
      </c>
      <c r="Z8" s="245" t="str">
        <f>+VLOOKUP(Y8,'[1]MATRIZ RIESGOS ANTICORRUPCIÓN'!$AC$3:$AD$5,2,FALSE)</f>
        <v>MODERADO</v>
      </c>
      <c r="AA8" s="245">
        <f t="shared" ref="AA8" si="3">+Y8*W8</f>
        <v>5</v>
      </c>
      <c r="AB8" s="256" t="str">
        <f>+VLOOKUP(AA8,'EVALUACIÓN DEL RIESGO'!$AU$10:$AW$23,3,FALSE)</f>
        <v>ZONA DE RIESGO BAJA</v>
      </c>
      <c r="AC8" s="20"/>
      <c r="AD8" s="20"/>
      <c r="AE8" s="20"/>
      <c r="AF8" s="20"/>
      <c r="AG8" s="20"/>
      <c r="AH8" s="20"/>
    </row>
    <row r="9" spans="1:34" customFormat="1" ht="21.5" customHeight="1" thickTop="1" thickBot="1" x14ac:dyDescent="0.3">
      <c r="A9" s="20"/>
      <c r="B9" s="257"/>
      <c r="C9" s="258">
        <f>+IF(C8="X",15,0)</f>
        <v>15</v>
      </c>
      <c r="D9" s="259"/>
      <c r="E9" s="258">
        <f>+IF(E8="X",5,0)</f>
        <v>5</v>
      </c>
      <c r="F9" s="259"/>
      <c r="G9" s="258">
        <f>+IF(G8="X",15,0)</f>
        <v>0</v>
      </c>
      <c r="H9" s="259"/>
      <c r="I9" s="258">
        <f>+IF(I8="X",10,0)</f>
        <v>10</v>
      </c>
      <c r="J9" s="259"/>
      <c r="K9" s="258">
        <f>+IF(K8="X",15,0)</f>
        <v>15</v>
      </c>
      <c r="L9" s="259"/>
      <c r="M9" s="258">
        <f>+IF(M8="X",10,0)</f>
        <v>10</v>
      </c>
      <c r="N9" s="259"/>
      <c r="O9" s="258">
        <f>+IF(O8="X",30,0)</f>
        <v>0</v>
      </c>
      <c r="P9" s="259"/>
      <c r="Q9" s="246"/>
      <c r="R9" s="246"/>
      <c r="S9" s="246"/>
      <c r="T9" s="246"/>
      <c r="U9" s="246"/>
      <c r="V9" s="246"/>
      <c r="W9" s="246"/>
      <c r="X9" s="246"/>
      <c r="Y9" s="246"/>
      <c r="Z9" s="246"/>
      <c r="AA9" s="246"/>
      <c r="AB9" s="257"/>
      <c r="AC9" s="20"/>
      <c r="AD9" s="262" t="s">
        <v>212</v>
      </c>
      <c r="AE9" s="263"/>
      <c r="AF9" s="263"/>
      <c r="AG9" s="264"/>
      <c r="AH9" s="20"/>
    </row>
    <row r="10" spans="1:34" customFormat="1" ht="50.5" customHeight="1" thickTop="1" thickBot="1" x14ac:dyDescent="0.3">
      <c r="A10" s="20"/>
      <c r="B10" s="260" t="str">
        <f>+'EVALUACIÓN DEL RIESGO'!B8</f>
        <v>Decisiones ajustadas a intereses particulares para realizar actividades no previstas como prioritarias o programadas.</v>
      </c>
      <c r="C10" s="23" t="s">
        <v>367</v>
      </c>
      <c r="D10" s="23"/>
      <c r="E10" s="23" t="s">
        <v>367</v>
      </c>
      <c r="F10" s="23"/>
      <c r="G10" s="23"/>
      <c r="H10" s="23" t="s">
        <v>367</v>
      </c>
      <c r="I10" s="23" t="s">
        <v>367</v>
      </c>
      <c r="J10" s="23"/>
      <c r="K10" s="23" t="s">
        <v>367</v>
      </c>
      <c r="L10" s="23"/>
      <c r="M10" s="23" t="s">
        <v>367</v>
      </c>
      <c r="N10" s="23"/>
      <c r="O10" s="23"/>
      <c r="P10" s="23" t="s">
        <v>367</v>
      </c>
      <c r="Q10" s="245">
        <f>+SUM(C11:P11)</f>
        <v>55</v>
      </c>
      <c r="R10" s="245">
        <f t="shared" ref="R10" si="4">+IF(Q10&lt;=50,0,IF(AND(Q10&gt;50,Q10&lt;=75),1,IF(Q10&gt;75,2)))</f>
        <v>1</v>
      </c>
      <c r="S10" s="245">
        <f>R10</f>
        <v>1</v>
      </c>
      <c r="T10" s="245" t="str">
        <f t="shared" ref="T10" si="5">+CONCATENATE(S10,R10)</f>
        <v>11</v>
      </c>
      <c r="U10" s="245">
        <f>+VLOOKUP(B10,'EVALUACIÓN DEL RIESGO'!$B$6:$AS$29,41,FALSE)</f>
        <v>5</v>
      </c>
      <c r="V10" s="245" t="str">
        <f t="shared" ref="V10" si="6">+CONCATENATE(U10,R10)</f>
        <v>51</v>
      </c>
      <c r="W10" s="245">
        <f>+VLOOKUP(T10,$AF$10:$AG$25,2,FALSE)</f>
        <v>1</v>
      </c>
      <c r="X10" s="245" t="str">
        <f>+VLOOKUP(W10,'[1]MATRIZ RIESGOS ANTICORRUPCIÓN'!$AA$3:$AB$7,2,FALSE)</f>
        <v>RARA VEZ</v>
      </c>
      <c r="Y10" s="245">
        <f>+VLOOKUP(V10,$AF$30:$AG$38,2,FALSE)</f>
        <v>5</v>
      </c>
      <c r="Z10" s="245" t="str">
        <f>+VLOOKUP(Y10,'[1]MATRIZ RIESGOS ANTICORRUPCIÓN'!$AC$3:$AD$5,2,FALSE)</f>
        <v>MODERADO</v>
      </c>
      <c r="AA10" s="245">
        <f t="shared" ref="AA10" si="7">+Y10*W10</f>
        <v>5</v>
      </c>
      <c r="AB10" s="256" t="str">
        <f>+VLOOKUP(AA10,'EVALUACIÓN DEL RIESGO'!$AU$10:$AW$23,3,FALSE)</f>
        <v>ZONA DE RIESGO BAJA</v>
      </c>
      <c r="AC10" s="20"/>
      <c r="AD10" s="254" t="s">
        <v>33</v>
      </c>
      <c r="AE10" s="251" t="s">
        <v>213</v>
      </c>
      <c r="AF10" s="251" t="s">
        <v>214</v>
      </c>
      <c r="AG10" s="251" t="s">
        <v>215</v>
      </c>
      <c r="AH10" s="20"/>
    </row>
    <row r="11" spans="1:34" customFormat="1" ht="21.75" customHeight="1" thickTop="1" thickBot="1" x14ac:dyDescent="0.3">
      <c r="A11" s="20"/>
      <c r="B11" s="261"/>
      <c r="C11" s="258">
        <f>+IF(C10="X",15,0)</f>
        <v>15</v>
      </c>
      <c r="D11" s="259"/>
      <c r="E11" s="258">
        <f>+IF(E10="X",5,0)</f>
        <v>5</v>
      </c>
      <c r="F11" s="259"/>
      <c r="G11" s="258">
        <f>+IF(G10="X",15,0)</f>
        <v>0</v>
      </c>
      <c r="H11" s="259"/>
      <c r="I11" s="258">
        <f>+IF(I10="X",10,0)</f>
        <v>10</v>
      </c>
      <c r="J11" s="259"/>
      <c r="K11" s="258">
        <f>+IF(K10="X",15,0)</f>
        <v>15</v>
      </c>
      <c r="L11" s="259"/>
      <c r="M11" s="258">
        <f>+IF(M10="X",10,0)</f>
        <v>10</v>
      </c>
      <c r="N11" s="259"/>
      <c r="O11" s="258">
        <f>+IF(O10="X",30,0)</f>
        <v>0</v>
      </c>
      <c r="P11" s="259"/>
      <c r="Q11" s="246"/>
      <c r="R11" s="246"/>
      <c r="S11" s="246"/>
      <c r="T11" s="246"/>
      <c r="U11" s="246"/>
      <c r="V11" s="246"/>
      <c r="W11" s="246"/>
      <c r="X11" s="246"/>
      <c r="Y11" s="246"/>
      <c r="Z11" s="246"/>
      <c r="AA11" s="246"/>
      <c r="AB11" s="257"/>
      <c r="AC11" s="20"/>
      <c r="AD11" s="255"/>
      <c r="AE11" s="252"/>
      <c r="AF11" s="252"/>
      <c r="AG11" s="252"/>
      <c r="AH11" s="20"/>
    </row>
    <row r="12" spans="1:34" customFormat="1" ht="33" customHeight="1" thickTop="1" thickBot="1" x14ac:dyDescent="0.3">
      <c r="A12" s="20"/>
      <c r="B12" s="260" t="str">
        <f>+'EVALUACIÓN DEL RIESGO'!B9</f>
        <v xml:space="preserve">Adquisición de bienes y/o servicios en condiciones poco favorables para la compañía
PAA 2024
</v>
      </c>
      <c r="C12" s="23"/>
      <c r="D12" s="23" t="s">
        <v>367</v>
      </c>
      <c r="E12" s="23"/>
      <c r="F12" s="23" t="s">
        <v>367</v>
      </c>
      <c r="G12" s="23"/>
      <c r="H12" s="23" t="s">
        <v>367</v>
      </c>
      <c r="I12" s="23" t="s">
        <v>367</v>
      </c>
      <c r="J12" s="23"/>
      <c r="K12" s="23" t="s">
        <v>367</v>
      </c>
      <c r="L12" s="23"/>
      <c r="M12" s="23" t="s">
        <v>367</v>
      </c>
      <c r="N12" s="23"/>
      <c r="O12" s="23" t="s">
        <v>367</v>
      </c>
      <c r="P12" s="23"/>
      <c r="Q12" s="245">
        <f>+SUM(C13:P13)</f>
        <v>75</v>
      </c>
      <c r="R12" s="245">
        <f t="shared" ref="R12" si="8">+IF(Q12&lt;=50,0,IF(AND(Q12&gt;50,Q12&lt;=75),1,IF(Q12&gt;75,2)))</f>
        <v>1</v>
      </c>
      <c r="S12" s="245">
        <f>R12</f>
        <v>1</v>
      </c>
      <c r="T12" s="245" t="str">
        <f t="shared" ref="T12" si="9">+CONCATENATE(S12,R12)</f>
        <v>11</v>
      </c>
      <c r="U12" s="245">
        <f>+VLOOKUP(B12,'EVALUACIÓN DEL RIESGO'!$B$6:$AS$29,41,FALSE)</f>
        <v>5</v>
      </c>
      <c r="V12" s="245" t="str">
        <f t="shared" ref="V12" si="10">+CONCATENATE(U12,R12)</f>
        <v>51</v>
      </c>
      <c r="W12" s="245">
        <f>+VLOOKUP(T12,$AF$10:$AG$25,2,FALSE)</f>
        <v>1</v>
      </c>
      <c r="X12" s="245" t="str">
        <f>+VLOOKUP(W12,'[1]MATRIZ RIESGOS ANTICORRUPCIÓN'!$AA$3:$AB$7,2,FALSE)</f>
        <v>RARA VEZ</v>
      </c>
      <c r="Y12" s="245">
        <f>+VLOOKUP(V12,$AF$30:$AG$38,2,FALSE)</f>
        <v>5</v>
      </c>
      <c r="Z12" s="245" t="str">
        <f>+VLOOKUP(Y12,'[1]MATRIZ RIESGOS ANTICORRUPCIÓN'!$AC$3:$AD$5,2,FALSE)</f>
        <v>MODERADO</v>
      </c>
      <c r="AA12" s="245">
        <f t="shared" ref="AA12" si="11">+Y12*W12</f>
        <v>5</v>
      </c>
      <c r="AB12" s="256" t="str">
        <f>+VLOOKUP(AA12,'EVALUACIÓN DEL RIESGO'!$AU$10:$AW$23,3,FALSE)</f>
        <v>ZONA DE RIESGO BAJA</v>
      </c>
      <c r="AC12" s="20"/>
      <c r="AD12" s="26">
        <v>1</v>
      </c>
      <c r="AE12" s="26">
        <v>0</v>
      </c>
      <c r="AF12" s="26" t="str">
        <f>+CONCATENATE(AD12,AE12)</f>
        <v>10</v>
      </c>
      <c r="AG12" s="26">
        <v>1</v>
      </c>
      <c r="AH12" s="20"/>
    </row>
    <row r="13" spans="1:34" customFormat="1" ht="21.75" customHeight="1" thickTop="1" thickBot="1" x14ac:dyDescent="0.3">
      <c r="A13" s="20"/>
      <c r="B13" s="261"/>
      <c r="C13" s="258">
        <f>+IF(C12="X",15,0)</f>
        <v>0</v>
      </c>
      <c r="D13" s="259"/>
      <c r="E13" s="258">
        <f>+IF(E12="X",5,0)</f>
        <v>0</v>
      </c>
      <c r="F13" s="259"/>
      <c r="G13" s="258">
        <f>+IF(G12="X",15,IF(H12="X",10))</f>
        <v>10</v>
      </c>
      <c r="H13" s="259"/>
      <c r="I13" s="258">
        <f>+IF(I12="X",10,0)</f>
        <v>10</v>
      </c>
      <c r="J13" s="259"/>
      <c r="K13" s="258">
        <f>+IF(K12="X",15,0)</f>
        <v>15</v>
      </c>
      <c r="L13" s="259"/>
      <c r="M13" s="258">
        <f>+IF(M12="X",10,0)</f>
        <v>10</v>
      </c>
      <c r="N13" s="259"/>
      <c r="O13" s="258">
        <f>+IF(O12="X",30,0)</f>
        <v>30</v>
      </c>
      <c r="P13" s="259"/>
      <c r="Q13" s="246"/>
      <c r="R13" s="246"/>
      <c r="S13" s="246"/>
      <c r="T13" s="246"/>
      <c r="U13" s="246"/>
      <c r="V13" s="246"/>
      <c r="W13" s="246"/>
      <c r="X13" s="246"/>
      <c r="Y13" s="246"/>
      <c r="Z13" s="246"/>
      <c r="AA13" s="246"/>
      <c r="AB13" s="257"/>
      <c r="AC13" s="20"/>
      <c r="AD13" s="26">
        <v>1</v>
      </c>
      <c r="AE13" s="26">
        <v>1</v>
      </c>
      <c r="AF13" s="26" t="str">
        <f t="shared" ref="AF13:AF25" si="12">+CONCATENATE(AD13,AE13)</f>
        <v>11</v>
      </c>
      <c r="AG13" s="26">
        <v>1</v>
      </c>
      <c r="AH13" s="20"/>
    </row>
    <row r="14" spans="1:34" customFormat="1" ht="6.5" customHeight="1" thickTop="1" thickBot="1" x14ac:dyDescent="0.3">
      <c r="A14" s="20"/>
      <c r="B14" s="143"/>
      <c r="C14" s="136"/>
      <c r="D14" s="137"/>
      <c r="E14" s="136"/>
      <c r="F14" s="137"/>
      <c r="G14" s="136"/>
      <c r="H14" s="137"/>
      <c r="I14" s="136"/>
      <c r="J14" s="137"/>
      <c r="K14" s="136"/>
      <c r="L14" s="137"/>
      <c r="M14" s="136"/>
      <c r="N14" s="137"/>
      <c r="O14" s="136"/>
      <c r="P14" s="137"/>
      <c r="Q14" s="139"/>
      <c r="R14" s="139"/>
      <c r="S14" s="139"/>
      <c r="T14" s="139"/>
      <c r="U14" s="139"/>
      <c r="V14" s="139"/>
      <c r="W14" s="139"/>
      <c r="X14" s="139"/>
      <c r="Y14" s="139"/>
      <c r="Z14" s="139"/>
      <c r="AA14" s="139"/>
      <c r="AB14" s="140"/>
      <c r="AC14" s="20"/>
      <c r="AD14" s="26">
        <v>1</v>
      </c>
      <c r="AE14" s="26">
        <v>2</v>
      </c>
      <c r="AF14" s="26" t="str">
        <f>+CONCATENATE(AD14,AE14)</f>
        <v>12</v>
      </c>
      <c r="AG14" s="26">
        <v>1</v>
      </c>
      <c r="AH14" s="20"/>
    </row>
    <row r="15" spans="1:34" customFormat="1" ht="35.5" customHeight="1" thickTop="1" thickBot="1" x14ac:dyDescent="0.3">
      <c r="A15" s="20"/>
      <c r="B15" s="260" t="str">
        <f>+'EVALUACIÓN DEL RIESGO'!B10</f>
        <v>Cobro por trámite anticipado de pago de facturas no programadas</v>
      </c>
      <c r="C15" s="23" t="s">
        <v>367</v>
      </c>
      <c r="D15" s="23"/>
      <c r="E15" s="23" t="s">
        <v>367</v>
      </c>
      <c r="F15" s="23"/>
      <c r="G15" s="23"/>
      <c r="H15" s="23" t="s">
        <v>367</v>
      </c>
      <c r="I15" s="23" t="s">
        <v>367</v>
      </c>
      <c r="J15" s="23"/>
      <c r="K15" s="23" t="s">
        <v>367</v>
      </c>
      <c r="L15" s="23"/>
      <c r="M15" s="23" t="s">
        <v>367</v>
      </c>
      <c r="N15" s="23"/>
      <c r="O15" s="23" t="s">
        <v>367</v>
      </c>
      <c r="P15" s="23"/>
      <c r="Q15" s="245">
        <f>+SUM(C16:P16)</f>
        <v>85</v>
      </c>
      <c r="R15" s="245">
        <f t="shared" ref="R15" si="13">+IF(Q15&lt;=50,0,IF(AND(Q15&gt;50,Q15&lt;=75),1,IF(Q15&gt;75,2)))</f>
        <v>2</v>
      </c>
      <c r="S15" s="245">
        <f>R15</f>
        <v>2</v>
      </c>
      <c r="T15" s="245" t="str">
        <f t="shared" ref="T15" si="14">+CONCATENATE(S15,R15)</f>
        <v>22</v>
      </c>
      <c r="U15" s="245">
        <f>+VLOOKUP(B15,'EVALUACIÓN DEL RIESGO'!$B$6:$AS$29,41,FALSE)</f>
        <v>5</v>
      </c>
      <c r="V15" s="245" t="str">
        <f t="shared" ref="V15" si="15">+CONCATENATE(U15,R15)</f>
        <v>52</v>
      </c>
      <c r="W15" s="245">
        <f>+VLOOKUP(T15,$AF$10:$AG$25,2,FALSE)</f>
        <v>1</v>
      </c>
      <c r="X15" s="245" t="str">
        <f>+VLOOKUP(W15,'[1]MATRIZ RIESGOS ANTICORRUPCIÓN'!$AA$3:$AB$7,2,FALSE)</f>
        <v>RARA VEZ</v>
      </c>
      <c r="Y15" s="245">
        <f>+VLOOKUP(V15,$AF$30:$AG$38,2,FALSE)</f>
        <v>5</v>
      </c>
      <c r="Z15" s="245" t="str">
        <f>+VLOOKUP(Y15,'[1]MATRIZ RIESGOS ANTICORRUPCIÓN'!$AC$3:$AD$5,2,FALSE)</f>
        <v>MODERADO</v>
      </c>
      <c r="AA15" s="245">
        <f t="shared" ref="AA15" si="16">+Y15*W15</f>
        <v>5</v>
      </c>
      <c r="AB15" s="256" t="str">
        <f>+VLOOKUP(AA15,'EVALUACIÓN DEL RIESGO'!$AU$10:$AW$23,3,FALSE)</f>
        <v>ZONA DE RIESGO BAJA</v>
      </c>
      <c r="AC15" s="20"/>
      <c r="AD15" s="26">
        <v>2</v>
      </c>
      <c r="AE15" s="26">
        <v>1</v>
      </c>
      <c r="AF15" s="26" t="str">
        <f t="shared" si="12"/>
        <v>21</v>
      </c>
      <c r="AG15" s="26">
        <v>1</v>
      </c>
      <c r="AH15" s="20"/>
    </row>
    <row r="16" spans="1:34" customFormat="1" ht="33" customHeight="1" thickTop="1" thickBot="1" x14ac:dyDescent="0.3">
      <c r="A16" s="20"/>
      <c r="B16" s="261"/>
      <c r="C16" s="258">
        <f>+IF(C15="X",15,0)</f>
        <v>15</v>
      </c>
      <c r="D16" s="259"/>
      <c r="E16" s="258">
        <f>+IF(E15="X",5,0)</f>
        <v>5</v>
      </c>
      <c r="F16" s="259"/>
      <c r="G16" s="258">
        <f>+IF(G15="X",15,0)</f>
        <v>0</v>
      </c>
      <c r="H16" s="259"/>
      <c r="I16" s="258">
        <f>+IF(I15="X",10,0)</f>
        <v>10</v>
      </c>
      <c r="J16" s="259"/>
      <c r="K16" s="258">
        <f>+IF(K15="X",15,0)</f>
        <v>15</v>
      </c>
      <c r="L16" s="259"/>
      <c r="M16" s="258">
        <f>+IF(M15="X",10,0)</f>
        <v>10</v>
      </c>
      <c r="N16" s="259"/>
      <c r="O16" s="258">
        <f>+IF(O15="X",30,0)</f>
        <v>30</v>
      </c>
      <c r="P16" s="259"/>
      <c r="Q16" s="246"/>
      <c r="R16" s="246"/>
      <c r="S16" s="246"/>
      <c r="T16" s="246"/>
      <c r="U16" s="246"/>
      <c r="V16" s="246"/>
      <c r="W16" s="246"/>
      <c r="X16" s="246"/>
      <c r="Y16" s="246"/>
      <c r="Z16" s="246"/>
      <c r="AA16" s="246"/>
      <c r="AB16" s="257"/>
      <c r="AC16" s="20"/>
      <c r="AD16" s="26">
        <v>2</v>
      </c>
      <c r="AE16" s="26">
        <v>2</v>
      </c>
      <c r="AF16" s="26" t="str">
        <f t="shared" si="12"/>
        <v>22</v>
      </c>
      <c r="AG16" s="26">
        <v>1</v>
      </c>
      <c r="AH16" s="20"/>
    </row>
    <row r="17" spans="1:34" customFormat="1" ht="37.9" customHeight="1" thickTop="1" thickBot="1" x14ac:dyDescent="0.3">
      <c r="A17" s="20"/>
      <c r="B17" s="260" t="str">
        <f>+'EVALUACIÓN DEL RIESGO'!B11</f>
        <v>Pagos incorrectos de salarios o prestaciones, generando incumplimientos legales y descontento entre los empleados.</v>
      </c>
      <c r="C17" s="23" t="s">
        <v>367</v>
      </c>
      <c r="D17" s="23"/>
      <c r="E17" s="23" t="s">
        <v>367</v>
      </c>
      <c r="F17" s="23"/>
      <c r="G17" s="23"/>
      <c r="H17" s="23" t="s">
        <v>367</v>
      </c>
      <c r="I17" s="23" t="s">
        <v>367</v>
      </c>
      <c r="J17" s="23"/>
      <c r="K17" s="23" t="s">
        <v>367</v>
      </c>
      <c r="L17" s="23"/>
      <c r="M17" s="23" t="s">
        <v>367</v>
      </c>
      <c r="N17" s="23"/>
      <c r="O17" s="23" t="s">
        <v>367</v>
      </c>
      <c r="P17" s="23"/>
      <c r="Q17" s="245">
        <f>+SUM(C18:P18)</f>
        <v>85</v>
      </c>
      <c r="R17" s="245">
        <f t="shared" ref="R17" si="17">+IF(Q17&lt;=50,0,IF(AND(Q17&gt;50,Q17&lt;=75),1,IF(Q17&gt;75,2)))</f>
        <v>2</v>
      </c>
      <c r="S17" s="245">
        <f>R17</f>
        <v>2</v>
      </c>
      <c r="T17" s="245" t="str">
        <f t="shared" ref="T17" si="18">+CONCATENATE(S17,R17)</f>
        <v>22</v>
      </c>
      <c r="U17" s="245">
        <f>+VLOOKUP(B17,'EVALUACIÓN DEL RIESGO'!$B$6:$AS$29,41,FALSE)</f>
        <v>5</v>
      </c>
      <c r="V17" s="245" t="str">
        <f t="shared" ref="V17" si="19">+CONCATENATE(U17,R17)</f>
        <v>52</v>
      </c>
      <c r="W17" s="245">
        <f>+VLOOKUP(T17,$AF$10:$AG$25,2,FALSE)</f>
        <v>1</v>
      </c>
      <c r="X17" s="245" t="str">
        <f>+VLOOKUP(W17,'[1]MATRIZ RIESGOS ANTICORRUPCIÓN'!$AA$3:$AB$7,2,FALSE)</f>
        <v>RARA VEZ</v>
      </c>
      <c r="Y17" s="245">
        <f>+VLOOKUP(V17,$AF$30:$AG$38,2,FALSE)</f>
        <v>5</v>
      </c>
      <c r="Z17" s="245" t="str">
        <f>+VLOOKUP(Y17,'[1]MATRIZ RIESGOS ANTICORRUPCIÓN'!$AC$3:$AD$5,2,FALSE)</f>
        <v>MODERADO</v>
      </c>
      <c r="AA17" s="245">
        <f t="shared" ref="AA17" si="20">+Y17*W17</f>
        <v>5</v>
      </c>
      <c r="AB17" s="256" t="str">
        <f>+VLOOKUP(AA17,'EVALUACIÓN DEL RIESGO'!$AU$10:$AW$23,3,FALSE)</f>
        <v>ZONA DE RIESGO BAJA</v>
      </c>
      <c r="AC17" s="20"/>
      <c r="AD17" s="26">
        <v>3</v>
      </c>
      <c r="AE17" s="26">
        <v>0</v>
      </c>
      <c r="AF17" s="26" t="str">
        <f t="shared" si="12"/>
        <v>30</v>
      </c>
      <c r="AG17" s="26">
        <v>3</v>
      </c>
      <c r="AH17" s="20"/>
    </row>
    <row r="18" spans="1:34" customFormat="1" ht="34.9" customHeight="1" thickTop="1" thickBot="1" x14ac:dyDescent="0.3">
      <c r="A18" s="20"/>
      <c r="B18" s="261"/>
      <c r="C18" s="258">
        <f>+IF(C17="X",15,0)</f>
        <v>15</v>
      </c>
      <c r="D18" s="259"/>
      <c r="E18" s="258">
        <f>+IF(E17="X",5,0)</f>
        <v>5</v>
      </c>
      <c r="F18" s="259"/>
      <c r="G18" s="258">
        <f>+IF(G17="X",15,0)</f>
        <v>0</v>
      </c>
      <c r="H18" s="259"/>
      <c r="I18" s="258">
        <f>+IF(I17="X",10,0)</f>
        <v>10</v>
      </c>
      <c r="J18" s="259"/>
      <c r="K18" s="258">
        <f>+IF(K17="X",15,0)</f>
        <v>15</v>
      </c>
      <c r="L18" s="259"/>
      <c r="M18" s="258">
        <f>+IF(M17="X",10,0)</f>
        <v>10</v>
      </c>
      <c r="N18" s="259"/>
      <c r="O18" s="258">
        <f>+IF(O17="X",30,0)</f>
        <v>30</v>
      </c>
      <c r="P18" s="259"/>
      <c r="Q18" s="246"/>
      <c r="R18" s="246"/>
      <c r="S18" s="246"/>
      <c r="T18" s="246"/>
      <c r="U18" s="246"/>
      <c r="V18" s="246"/>
      <c r="W18" s="246"/>
      <c r="X18" s="246"/>
      <c r="Y18" s="246"/>
      <c r="Z18" s="246"/>
      <c r="AA18" s="246"/>
      <c r="AB18" s="257"/>
      <c r="AC18" s="20"/>
      <c r="AD18" s="26">
        <v>3</v>
      </c>
      <c r="AE18" s="26">
        <v>1</v>
      </c>
      <c r="AF18" s="26" t="str">
        <f t="shared" si="12"/>
        <v>31</v>
      </c>
      <c r="AG18" s="26">
        <v>2</v>
      </c>
      <c r="AH18" s="20"/>
    </row>
    <row r="19" spans="1:34" customFormat="1" ht="40.5" customHeight="1" thickTop="1" thickBot="1" x14ac:dyDescent="0.3">
      <c r="A19" s="20"/>
      <c r="B19" s="260" t="str">
        <f>+'EVALUACIÓN DEL RIESGO'!B12</f>
        <v>Falta de ejecución del plan de capacitaciones de la Sociedad Tequendama (SIAO)</v>
      </c>
      <c r="C19" s="23"/>
      <c r="D19" s="23" t="s">
        <v>369</v>
      </c>
      <c r="E19" s="23"/>
      <c r="F19" s="23" t="s">
        <v>369</v>
      </c>
      <c r="G19" s="23" t="s">
        <v>369</v>
      </c>
      <c r="H19" s="23"/>
      <c r="I19" s="23"/>
      <c r="J19" s="23" t="s">
        <v>369</v>
      </c>
      <c r="K19" s="23" t="s">
        <v>369</v>
      </c>
      <c r="L19" s="23"/>
      <c r="M19" s="23" t="s">
        <v>369</v>
      </c>
      <c r="N19" s="23"/>
      <c r="O19" s="23" t="s">
        <v>369</v>
      </c>
      <c r="P19" s="23"/>
      <c r="Q19" s="245">
        <f>+SUM(C20:P20)</f>
        <v>70</v>
      </c>
      <c r="R19" s="245">
        <f t="shared" ref="R19" si="21">+IF(Q19&lt;=50,0,IF(AND(Q19&gt;50,Q19&lt;=75),1,IF(Q19&gt;75,2)))</f>
        <v>1</v>
      </c>
      <c r="S19" s="27">
        <f>R19</f>
        <v>1</v>
      </c>
      <c r="T19" s="27" t="str">
        <f t="shared" ref="T19" si="22">+CONCATENATE(S19,R19)</f>
        <v>11</v>
      </c>
      <c r="U19" s="245">
        <f>+VLOOKUP(B19,'EVALUACIÓN DEL RIESGO'!$B$6:$AS$29,41,FALSE)</f>
        <v>5</v>
      </c>
      <c r="V19" s="27" t="str">
        <f t="shared" ref="V19" si="23">+CONCATENATE(U19,R19)</f>
        <v>51</v>
      </c>
      <c r="W19" s="27">
        <f>+VLOOKUP(T19,$AF$10:$AG$25,2,FALSE)</f>
        <v>1</v>
      </c>
      <c r="X19" s="245" t="str">
        <f>+VLOOKUP(W19,'[1]MATRIZ RIESGOS ANTICORRUPCIÓN'!$AA$3:$AB$7,2,FALSE)</f>
        <v>RARA VEZ</v>
      </c>
      <c r="Y19" s="27">
        <f>+VLOOKUP(V19,$AF$30:$AG$38,2,FALSE)</f>
        <v>5</v>
      </c>
      <c r="Z19" s="245" t="str">
        <f>+VLOOKUP(Y19,'[1]MATRIZ RIESGOS ANTICORRUPCIÓN'!$AC$3:$AD$5,2,FALSE)</f>
        <v>MODERADO</v>
      </c>
      <c r="AA19" s="27">
        <f t="shared" ref="AA19" si="24">+Y19*W19</f>
        <v>5</v>
      </c>
      <c r="AB19" s="256" t="str">
        <f>+VLOOKUP(AA19,'EVALUACIÓN DEL RIESGO'!$AU$10:$AW$23,3,FALSE)</f>
        <v>ZONA DE RIESGO BAJA</v>
      </c>
      <c r="AC19" s="20"/>
      <c r="AD19" s="26">
        <v>3</v>
      </c>
      <c r="AE19" s="26">
        <v>2</v>
      </c>
      <c r="AF19" s="26" t="str">
        <f t="shared" si="12"/>
        <v>32</v>
      </c>
      <c r="AG19" s="26">
        <v>1</v>
      </c>
      <c r="AH19" s="20"/>
    </row>
    <row r="20" spans="1:34" customFormat="1" ht="28" customHeight="1" thickTop="1" thickBot="1" x14ac:dyDescent="0.3">
      <c r="A20" s="20"/>
      <c r="B20" s="261"/>
      <c r="C20" s="258">
        <f>+IF(C19="X",15,0)</f>
        <v>0</v>
      </c>
      <c r="D20" s="259"/>
      <c r="E20" s="258">
        <f>+IF(E19="X",5,0)</f>
        <v>0</v>
      </c>
      <c r="F20" s="259"/>
      <c r="G20" s="258">
        <f>+IF(G19="X",15,0)</f>
        <v>15</v>
      </c>
      <c r="H20" s="259"/>
      <c r="I20" s="258">
        <f>+IF(I19="X",10,0)</f>
        <v>0</v>
      </c>
      <c r="J20" s="259"/>
      <c r="K20" s="258">
        <f>+IF(K19="X",15,0)</f>
        <v>15</v>
      </c>
      <c r="L20" s="259"/>
      <c r="M20" s="258">
        <f>+IF(M19="X",10,0)</f>
        <v>10</v>
      </c>
      <c r="N20" s="259"/>
      <c r="O20" s="258">
        <f>+IF(O19="X",30,0)</f>
        <v>30</v>
      </c>
      <c r="P20" s="259"/>
      <c r="Q20" s="246"/>
      <c r="R20" s="246"/>
      <c r="S20" s="28"/>
      <c r="T20" s="28"/>
      <c r="U20" s="246"/>
      <c r="V20" s="28"/>
      <c r="W20" s="28"/>
      <c r="X20" s="246"/>
      <c r="Y20" s="28"/>
      <c r="Z20" s="246"/>
      <c r="AA20" s="28"/>
      <c r="AB20" s="257"/>
      <c r="AC20" s="20"/>
      <c r="AD20" s="26">
        <v>4</v>
      </c>
      <c r="AE20" s="26">
        <v>0</v>
      </c>
      <c r="AF20" s="26" t="str">
        <f t="shared" si="12"/>
        <v>40</v>
      </c>
      <c r="AG20" s="26">
        <v>4</v>
      </c>
      <c r="AH20" s="20"/>
    </row>
    <row r="21" spans="1:34" customFormat="1" ht="58" customHeight="1" thickTop="1" thickBot="1" x14ac:dyDescent="0.3">
      <c r="A21" s="20"/>
      <c r="B21" s="260" t="str">
        <f>+'EVALUACIÓN DEL RIESGO'!B13</f>
        <v>Pérdida, robo, daño y/o modificación sin autorización de la integridad de la información de la compañía en  beneficio de un tercero.</v>
      </c>
      <c r="C21" s="23" t="s">
        <v>367</v>
      </c>
      <c r="D21" s="23"/>
      <c r="E21" s="23" t="s">
        <v>367</v>
      </c>
      <c r="F21" s="23"/>
      <c r="G21" s="23" t="s">
        <v>367</v>
      </c>
      <c r="H21" s="23"/>
      <c r="I21" s="23" t="s">
        <v>367</v>
      </c>
      <c r="J21" s="23"/>
      <c r="K21" s="23" t="s">
        <v>367</v>
      </c>
      <c r="L21" s="23"/>
      <c r="M21" s="23" t="s">
        <v>367</v>
      </c>
      <c r="N21" s="23"/>
      <c r="O21" s="23" t="s">
        <v>367</v>
      </c>
      <c r="P21" s="23"/>
      <c r="Q21" s="245">
        <f>+SUM(C22:P22)</f>
        <v>100</v>
      </c>
      <c r="R21" s="245">
        <f t="shared" ref="R21" si="25">+IF(Q21&lt;=50,0,IF(AND(Q21&gt;50,Q21&lt;=75),1,IF(Q21&gt;75,2)))</f>
        <v>2</v>
      </c>
      <c r="S21" s="245">
        <f>R21</f>
        <v>2</v>
      </c>
      <c r="T21" s="27" t="str">
        <f t="shared" ref="T21" si="26">+CONCATENATE(S21,R21)</f>
        <v>22</v>
      </c>
      <c r="U21" s="27">
        <f>+VLOOKUP(B21,'EVALUACIÓN DEL RIESGO'!$B$6:$AS$29,41,FALSE)</f>
        <v>5</v>
      </c>
      <c r="V21" s="27" t="str">
        <f t="shared" ref="V21" si="27">+CONCATENATE(U21,R21)</f>
        <v>52</v>
      </c>
      <c r="W21" s="27">
        <f>+VLOOKUP(T21,$AF$10:$AG$25,2,FALSE)</f>
        <v>1</v>
      </c>
      <c r="X21" s="245" t="str">
        <f>+VLOOKUP(W21,'[1]MATRIZ RIESGOS ANTICORRUPCIÓN'!$AA$3:$AB$7,2,FALSE)</f>
        <v>RARA VEZ</v>
      </c>
      <c r="Y21" s="27">
        <f t="shared" ref="Y21" si="28">+VLOOKUP(V21,$AF$30:$AG$38,2,FALSE)</f>
        <v>5</v>
      </c>
      <c r="Z21" s="245" t="str">
        <f>+VLOOKUP(Y21,'[1]MATRIZ RIESGOS ANTICORRUPCIÓN'!$AC$3:$AD$5,2,FALSE)</f>
        <v>MODERADO</v>
      </c>
      <c r="AA21" s="27">
        <f t="shared" ref="AA21" si="29">+Y21*W21</f>
        <v>5</v>
      </c>
      <c r="AB21" s="256" t="str">
        <f>+VLOOKUP(AA21,'EVALUACIÓN DEL RIESGO'!$AU$10:$AW$23,3,FALSE)</f>
        <v>ZONA DE RIESGO BAJA</v>
      </c>
      <c r="AC21" s="20"/>
      <c r="AD21" s="26">
        <v>4</v>
      </c>
      <c r="AE21" s="26">
        <v>1</v>
      </c>
      <c r="AF21" s="26" t="str">
        <f t="shared" si="12"/>
        <v>41</v>
      </c>
      <c r="AG21" s="26">
        <v>3</v>
      </c>
      <c r="AH21" s="20"/>
    </row>
    <row r="22" spans="1:34" customFormat="1" ht="21.75" customHeight="1" thickTop="1" thickBot="1" x14ac:dyDescent="0.3">
      <c r="A22" s="20"/>
      <c r="B22" s="261"/>
      <c r="C22" s="258">
        <f>+IF(C21="X",15,0)</f>
        <v>15</v>
      </c>
      <c r="D22" s="259"/>
      <c r="E22" s="258">
        <f>+IF(E21="X",5,0)</f>
        <v>5</v>
      </c>
      <c r="F22" s="259"/>
      <c r="G22" s="258">
        <f>+IF(G21="X",15,0)</f>
        <v>15</v>
      </c>
      <c r="H22" s="259"/>
      <c r="I22" s="258">
        <f>+IF(I21="X",10,0)</f>
        <v>10</v>
      </c>
      <c r="J22" s="259"/>
      <c r="K22" s="258">
        <f>+IF(K21="X",15,0)</f>
        <v>15</v>
      </c>
      <c r="L22" s="259"/>
      <c r="M22" s="258">
        <f>+IF(M21="X",10,0)</f>
        <v>10</v>
      </c>
      <c r="N22" s="259"/>
      <c r="O22" s="258">
        <f>+IF(O21="X",30,0)</f>
        <v>30</v>
      </c>
      <c r="P22" s="259"/>
      <c r="Q22" s="246"/>
      <c r="R22" s="246"/>
      <c r="S22" s="246"/>
      <c r="T22" s="28"/>
      <c r="U22" s="28"/>
      <c r="V22" s="28"/>
      <c r="W22" s="28"/>
      <c r="X22" s="246"/>
      <c r="Y22" s="28"/>
      <c r="Z22" s="246"/>
      <c r="AA22" s="28"/>
      <c r="AB22" s="257"/>
      <c r="AC22" s="20"/>
      <c r="AD22" s="26">
        <v>4</v>
      </c>
      <c r="AE22" s="26">
        <v>2</v>
      </c>
      <c r="AF22" s="26" t="str">
        <f t="shared" si="12"/>
        <v>42</v>
      </c>
      <c r="AG22" s="26">
        <v>2</v>
      </c>
      <c r="AH22" s="20"/>
    </row>
    <row r="23" spans="1:34" customFormat="1" ht="35.5" customHeight="1" thickTop="1" thickBot="1" x14ac:dyDescent="0.3">
      <c r="A23" s="20"/>
      <c r="B23" s="260" t="str">
        <f>+'EVALUACIÓN DEL RIESGO'!B14</f>
        <v>Perdida o deterioro y/o destrucción de la documentación en la Sociedad Tequendama.</v>
      </c>
      <c r="C23" s="23" t="s">
        <v>367</v>
      </c>
      <c r="D23" s="23"/>
      <c r="E23" s="23" t="s">
        <v>367</v>
      </c>
      <c r="F23" s="23"/>
      <c r="G23" s="23"/>
      <c r="H23" s="23" t="s">
        <v>367</v>
      </c>
      <c r="I23" s="23" t="s">
        <v>367</v>
      </c>
      <c r="J23" s="23"/>
      <c r="K23" s="23" t="s">
        <v>367</v>
      </c>
      <c r="L23" s="23"/>
      <c r="M23" s="23" t="s">
        <v>367</v>
      </c>
      <c r="N23" s="23"/>
      <c r="O23" s="23" t="s">
        <v>367</v>
      </c>
      <c r="P23" s="23"/>
      <c r="Q23" s="245">
        <f>+SUM(C24:P24)</f>
        <v>85</v>
      </c>
      <c r="R23" s="245">
        <f t="shared" ref="R23" si="30">+IF(Q23&lt;=50,0,IF(AND(Q23&gt;50,Q23&lt;=75),1,IF(Q23&gt;75,2)))</f>
        <v>2</v>
      </c>
      <c r="S23" s="245">
        <f>R23</f>
        <v>2</v>
      </c>
      <c r="T23" s="27" t="str">
        <f t="shared" ref="T23" si="31">+CONCATENATE(S23,R23)</f>
        <v>22</v>
      </c>
      <c r="U23" s="27">
        <f>+VLOOKUP(B23,'EVALUACIÓN DEL RIESGO'!$B$6:$AS$29,41,FALSE)</f>
        <v>5</v>
      </c>
      <c r="V23" s="27" t="str">
        <f t="shared" ref="V23" si="32">+CONCATENATE(U23,R23)</f>
        <v>52</v>
      </c>
      <c r="W23" s="27">
        <f>+VLOOKUP(T23,$AF$10:$AG$25,2,FALSE)</f>
        <v>1</v>
      </c>
      <c r="X23" s="245" t="str">
        <f>+VLOOKUP(W23,'[1]MATRIZ RIESGOS ANTICORRUPCIÓN'!$AA$3:$AB$7,2,FALSE)</f>
        <v>RARA VEZ</v>
      </c>
      <c r="Y23" s="27">
        <f t="shared" ref="Y23" si="33">+VLOOKUP(V23,$AF$30:$AG$38,2,FALSE)</f>
        <v>5</v>
      </c>
      <c r="Z23" s="245" t="str">
        <f>+VLOOKUP(Y23,'[1]MATRIZ RIESGOS ANTICORRUPCIÓN'!$AC$3:$AD$5,2,FALSE)</f>
        <v>MODERADO</v>
      </c>
      <c r="AA23" s="27">
        <f t="shared" ref="AA23" si="34">+Y23*W23</f>
        <v>5</v>
      </c>
      <c r="AB23" s="256" t="str">
        <f>+VLOOKUP(AA23,'EVALUACIÓN DEL RIESGO'!$AU$10:$AW$23,3,FALSE)</f>
        <v>ZONA DE RIESGO BAJA</v>
      </c>
      <c r="AC23" s="20"/>
      <c r="AD23" s="26">
        <v>5</v>
      </c>
      <c r="AE23" s="26">
        <v>0</v>
      </c>
      <c r="AF23" s="26" t="str">
        <f t="shared" si="12"/>
        <v>50</v>
      </c>
      <c r="AG23" s="26">
        <v>5</v>
      </c>
      <c r="AH23" s="20"/>
    </row>
    <row r="24" spans="1:34" customFormat="1" ht="25.5" customHeight="1" thickTop="1" thickBot="1" x14ac:dyDescent="0.3">
      <c r="A24" s="20"/>
      <c r="B24" s="261"/>
      <c r="C24" s="258">
        <f>+IF(C23="X",15,0)</f>
        <v>15</v>
      </c>
      <c r="D24" s="259"/>
      <c r="E24" s="258">
        <f>+IF(E23="X",5,0)</f>
        <v>5</v>
      </c>
      <c r="F24" s="259"/>
      <c r="G24" s="258">
        <f>+IF(G23="X",15,0)</f>
        <v>0</v>
      </c>
      <c r="H24" s="259"/>
      <c r="I24" s="258">
        <f>+IF(I23="X",10,0)</f>
        <v>10</v>
      </c>
      <c r="J24" s="259"/>
      <c r="K24" s="258">
        <f>+IF(K23="X",15,0)</f>
        <v>15</v>
      </c>
      <c r="L24" s="259"/>
      <c r="M24" s="258">
        <f>+IF(M23="X",10,0)</f>
        <v>10</v>
      </c>
      <c r="N24" s="259"/>
      <c r="O24" s="258">
        <f>+IF(O23="X",30,0)</f>
        <v>30</v>
      </c>
      <c r="P24" s="259"/>
      <c r="Q24" s="246"/>
      <c r="R24" s="246"/>
      <c r="S24" s="246"/>
      <c r="T24" s="28"/>
      <c r="U24" s="28"/>
      <c r="V24" s="28"/>
      <c r="W24" s="28"/>
      <c r="X24" s="246"/>
      <c r="Y24" s="28"/>
      <c r="Z24" s="246"/>
      <c r="AA24" s="28"/>
      <c r="AB24" s="257"/>
      <c r="AC24" s="20"/>
      <c r="AD24" s="26">
        <v>5</v>
      </c>
      <c r="AE24" s="26">
        <v>1</v>
      </c>
      <c r="AF24" s="26" t="str">
        <f t="shared" si="12"/>
        <v>51</v>
      </c>
      <c r="AG24" s="26">
        <v>4</v>
      </c>
      <c r="AH24" s="20"/>
    </row>
    <row r="25" spans="1:34" customFormat="1" ht="21.75" customHeight="1" thickTop="1" thickBot="1" x14ac:dyDescent="0.3">
      <c r="A25" s="20"/>
      <c r="B25" s="260" t="str">
        <f>+'EVALUACIÓN DEL RIESGO'!B15</f>
        <v>Manipulación de los procedimientos de control disciplinario interno.</v>
      </c>
      <c r="C25" s="23"/>
      <c r="D25" s="23" t="s">
        <v>367</v>
      </c>
      <c r="E25" s="23"/>
      <c r="F25" s="23" t="s">
        <v>367</v>
      </c>
      <c r="G25" s="23"/>
      <c r="H25" s="23" t="s">
        <v>367</v>
      </c>
      <c r="I25" s="23" t="s">
        <v>367</v>
      </c>
      <c r="J25" s="23"/>
      <c r="K25" s="23" t="s">
        <v>367</v>
      </c>
      <c r="L25" s="23"/>
      <c r="M25" s="23" t="s">
        <v>367</v>
      </c>
      <c r="N25" s="23"/>
      <c r="O25" s="23" t="s">
        <v>367</v>
      </c>
      <c r="P25" s="23"/>
      <c r="Q25" s="245">
        <f>+SUM(C26:P26)</f>
        <v>65</v>
      </c>
      <c r="R25" s="245">
        <f t="shared" ref="R25" si="35">+IF(Q25&lt;=50,0,IF(AND(Q25&gt;50,Q25&lt;=75),1,IF(Q25&gt;75,2)))</f>
        <v>1</v>
      </c>
      <c r="S25" s="245">
        <f>R25</f>
        <v>1</v>
      </c>
      <c r="T25" s="27" t="str">
        <f t="shared" ref="T25" si="36">+CONCATENATE(S25,R25)</f>
        <v>11</v>
      </c>
      <c r="U25" s="27">
        <f>+VLOOKUP(B25,'EVALUACIÓN DEL RIESGO'!$B$6:$AS$29,41,FALSE)</f>
        <v>10</v>
      </c>
      <c r="V25" s="27" t="str">
        <f t="shared" ref="V25" si="37">+CONCATENATE(U25,R25)</f>
        <v>101</v>
      </c>
      <c r="W25" s="27">
        <f>+VLOOKUP(T25,$AF$10:$AG$25,2,FALSE)</f>
        <v>1</v>
      </c>
      <c r="X25" s="245" t="str">
        <f>+VLOOKUP(W25,'[1]MATRIZ RIESGOS ANTICORRUPCIÓN'!$AA$3:$AB$7,2,FALSE)</f>
        <v>RARA VEZ</v>
      </c>
      <c r="Y25" s="27">
        <f t="shared" ref="Y25" si="38">+VLOOKUP(V25,$AF$30:$AG$38,2,FALSE)</f>
        <v>5</v>
      </c>
      <c r="Z25" s="245" t="str">
        <f>+VLOOKUP(Y25,'[1]MATRIZ RIESGOS ANTICORRUPCIÓN'!$AC$3:$AD$5,2,FALSE)</f>
        <v>MODERADO</v>
      </c>
      <c r="AA25" s="27">
        <f t="shared" ref="AA25" si="39">+Y25*W25</f>
        <v>5</v>
      </c>
      <c r="AB25" s="256" t="str">
        <f>+VLOOKUP(AA25,'EVALUACIÓN DEL RIESGO'!$AU$10:$AW$23,3,FALSE)</f>
        <v>ZONA DE RIESGO BAJA</v>
      </c>
      <c r="AC25" s="20"/>
      <c r="AD25" s="26">
        <v>5</v>
      </c>
      <c r="AE25" s="26">
        <v>2</v>
      </c>
      <c r="AF25" s="26" t="str">
        <f t="shared" si="12"/>
        <v>52</v>
      </c>
      <c r="AG25" s="26">
        <v>3</v>
      </c>
      <c r="AH25" s="20"/>
    </row>
    <row r="26" spans="1:34" customFormat="1" ht="21.75" customHeight="1" thickTop="1" thickBot="1" x14ac:dyDescent="0.3">
      <c r="A26" s="20"/>
      <c r="B26" s="261"/>
      <c r="C26" s="258">
        <f>+IF(C25="X",15,0)</f>
        <v>0</v>
      </c>
      <c r="D26" s="259"/>
      <c r="E26" s="258">
        <f>+IF(E25="X",5,0)</f>
        <v>0</v>
      </c>
      <c r="F26" s="259"/>
      <c r="G26" s="258">
        <f>+IF(G25="X",15,0)</f>
        <v>0</v>
      </c>
      <c r="H26" s="259"/>
      <c r="I26" s="258">
        <f>+IF(I25="X",10,0)</f>
        <v>10</v>
      </c>
      <c r="J26" s="259"/>
      <c r="K26" s="258">
        <f>+IF(K25="X",15,0)</f>
        <v>15</v>
      </c>
      <c r="L26" s="259"/>
      <c r="M26" s="258">
        <f>+IF(M25="X",10,0)</f>
        <v>10</v>
      </c>
      <c r="N26" s="259"/>
      <c r="O26" s="258">
        <f>+IF(O25="X",30,0)</f>
        <v>30</v>
      </c>
      <c r="P26" s="259"/>
      <c r="Q26" s="246"/>
      <c r="R26" s="246"/>
      <c r="S26" s="246"/>
      <c r="T26" s="28"/>
      <c r="U26" s="28"/>
      <c r="V26" s="28"/>
      <c r="W26" s="28"/>
      <c r="X26" s="246"/>
      <c r="Y26" s="28"/>
      <c r="Z26" s="246"/>
      <c r="AA26" s="28"/>
      <c r="AB26" s="257"/>
      <c r="AC26" s="20"/>
      <c r="AD26" s="20"/>
      <c r="AE26" s="20"/>
      <c r="AF26" s="20"/>
      <c r="AG26" s="20"/>
      <c r="AH26" s="20"/>
    </row>
    <row r="27" spans="1:34" ht="21.75" customHeight="1" thickTop="1" thickBot="1" x14ac:dyDescent="0.3">
      <c r="B27" s="260" t="str">
        <f>+'EVALUACIÓN DEL RIESGO'!B16</f>
        <v>Materialice la responsabilidad civil y penal de los administradores</v>
      </c>
      <c r="C27" s="23" t="s">
        <v>367</v>
      </c>
      <c r="D27" s="23"/>
      <c r="E27" s="23" t="s">
        <v>367</v>
      </c>
      <c r="F27" s="23"/>
      <c r="G27" s="23"/>
      <c r="H27" s="23" t="s">
        <v>367</v>
      </c>
      <c r="I27" s="23" t="s">
        <v>367</v>
      </c>
      <c r="J27" s="23"/>
      <c r="K27" s="23" t="s">
        <v>367</v>
      </c>
      <c r="L27" s="23"/>
      <c r="M27" s="23" t="s">
        <v>367</v>
      </c>
      <c r="N27" s="23"/>
      <c r="O27" s="23" t="s">
        <v>367</v>
      </c>
      <c r="P27" s="23"/>
      <c r="Q27" s="245">
        <f>+SUM(C28:P28)</f>
        <v>85</v>
      </c>
      <c r="R27" s="245">
        <f t="shared" ref="R27" si="40">+IF(Q27&lt;=50,0,IF(AND(Q27&gt;50,Q27&lt;=75),1,IF(Q27&gt;75,2)))</f>
        <v>2</v>
      </c>
      <c r="S27" s="245">
        <f>R27</f>
        <v>2</v>
      </c>
      <c r="T27" s="27" t="str">
        <f t="shared" ref="T27" si="41">+CONCATENATE(S27,R27)</f>
        <v>22</v>
      </c>
      <c r="U27" s="27">
        <f>+VLOOKUP(B27,'EVALUACIÓN DEL RIESGO'!$B$6:$AS$29,41,FALSE)</f>
        <v>10</v>
      </c>
      <c r="V27" s="27" t="str">
        <f t="shared" ref="V27" si="42">+CONCATENATE(U27,R27)</f>
        <v>102</v>
      </c>
      <c r="W27" s="27">
        <f>+VLOOKUP(T27,$AF$10:$AG$25,2,FALSE)</f>
        <v>1</v>
      </c>
      <c r="X27" s="245" t="str">
        <f>+VLOOKUP(W27,'[1]MATRIZ RIESGOS ANTICORRUPCIÓN'!$AA$3:$AB$7,2,FALSE)</f>
        <v>RARA VEZ</v>
      </c>
      <c r="Y27" s="27">
        <f t="shared" ref="Y27" si="43">+VLOOKUP(V27,$AF$30:$AG$38,2,FALSE)</f>
        <v>5</v>
      </c>
      <c r="Z27" s="245" t="str">
        <f>+VLOOKUP(Y27,'[1]MATRIZ RIESGOS ANTICORRUPCIÓN'!$AC$3:$AD$5,2,FALSE)</f>
        <v>MODERADO</v>
      </c>
      <c r="AA27" s="27">
        <f t="shared" ref="AA27" si="44">+Y27*W27</f>
        <v>5</v>
      </c>
      <c r="AB27" s="256" t="str">
        <f>+VLOOKUP(AA27,'EVALUACIÓN DEL RIESGO'!$AU$10:$AW$23,3,FALSE)</f>
        <v>ZONA DE RIESGO BAJA</v>
      </c>
      <c r="AC27" s="20"/>
      <c r="AD27" s="262" t="s">
        <v>212</v>
      </c>
      <c r="AE27" s="263"/>
      <c r="AF27" s="263"/>
      <c r="AG27" s="264"/>
    </row>
    <row r="28" spans="1:34" ht="21.75" customHeight="1" thickTop="1" thickBot="1" x14ac:dyDescent="0.3">
      <c r="B28" s="261"/>
      <c r="C28" s="258">
        <f>+IF(C27="X",15,0)</f>
        <v>15</v>
      </c>
      <c r="D28" s="259"/>
      <c r="E28" s="258">
        <f>+IF(E27="X",5,0)</f>
        <v>5</v>
      </c>
      <c r="F28" s="259"/>
      <c r="G28" s="258">
        <f>+IF(G27="X",15,0)</f>
        <v>0</v>
      </c>
      <c r="H28" s="259"/>
      <c r="I28" s="258">
        <f>+IF(I27="X",10,0)</f>
        <v>10</v>
      </c>
      <c r="J28" s="259"/>
      <c r="K28" s="258">
        <f>+IF(K27="X",15,0)</f>
        <v>15</v>
      </c>
      <c r="L28" s="259"/>
      <c r="M28" s="258">
        <f>+IF(M27="X",10,0)</f>
        <v>10</v>
      </c>
      <c r="N28" s="259"/>
      <c r="O28" s="258">
        <f>+IF(O27="X",30,0)</f>
        <v>30</v>
      </c>
      <c r="P28" s="259"/>
      <c r="Q28" s="246"/>
      <c r="R28" s="246"/>
      <c r="S28" s="246"/>
      <c r="T28" s="28"/>
      <c r="U28" s="28"/>
      <c r="V28" s="28"/>
      <c r="W28" s="28"/>
      <c r="X28" s="246"/>
      <c r="Y28" s="28"/>
      <c r="Z28" s="246"/>
      <c r="AA28" s="28"/>
      <c r="AB28" s="257"/>
      <c r="AC28" s="20"/>
      <c r="AD28" s="254" t="s">
        <v>216</v>
      </c>
      <c r="AE28" s="251" t="s">
        <v>213</v>
      </c>
      <c r="AF28" s="251" t="s">
        <v>214</v>
      </c>
      <c r="AG28" s="251" t="s">
        <v>215</v>
      </c>
    </row>
    <row r="29" spans="1:34" ht="21.75" customHeight="1" thickTop="1" thickBot="1" x14ac:dyDescent="0.3">
      <c r="B29" s="260" t="str">
        <f>+'EVALUACIÓN DEL RIESGO'!B17</f>
        <v>Materializar la responsabilidad fiscal, disicplinaria, administrativa y penal de los administradores</v>
      </c>
      <c r="C29" s="23" t="s">
        <v>367</v>
      </c>
      <c r="D29" s="23"/>
      <c r="E29" s="23" t="s">
        <v>367</v>
      </c>
      <c r="F29" s="23"/>
      <c r="G29" s="23"/>
      <c r="H29" s="23" t="s">
        <v>367</v>
      </c>
      <c r="I29" s="23" t="s">
        <v>367</v>
      </c>
      <c r="J29" s="23"/>
      <c r="K29" s="23" t="s">
        <v>367</v>
      </c>
      <c r="L29" s="23"/>
      <c r="M29" s="23" t="s">
        <v>367</v>
      </c>
      <c r="N29" s="23"/>
      <c r="O29" s="23" t="s">
        <v>367</v>
      </c>
      <c r="P29" s="23"/>
      <c r="Q29" s="245">
        <f>+SUM(C30:P30)</f>
        <v>85</v>
      </c>
      <c r="R29" s="245">
        <f t="shared" ref="R29" si="45">+IF(Q29&lt;=50,0,IF(AND(Q29&gt;50,Q29&lt;=75),1,IF(Q29&gt;75,2)))</f>
        <v>2</v>
      </c>
      <c r="S29" s="245">
        <f>R29</f>
        <v>2</v>
      </c>
      <c r="T29" s="27" t="str">
        <f t="shared" ref="T29" si="46">+CONCATENATE(S29,R29)</f>
        <v>22</v>
      </c>
      <c r="U29" s="27">
        <f>+VLOOKUP(B29,'EVALUACIÓN DEL RIESGO'!$B$6:$AS$29,41,FALSE)</f>
        <v>10</v>
      </c>
      <c r="V29" s="27" t="str">
        <f t="shared" ref="V29" si="47">+CONCATENATE(U29,R29)</f>
        <v>102</v>
      </c>
      <c r="W29" s="27">
        <f>+VLOOKUP(T29,$AF$10:$AG$25,2,FALSE)</f>
        <v>1</v>
      </c>
      <c r="X29" s="245" t="str">
        <f>+VLOOKUP(W29,'[1]MATRIZ RIESGOS ANTICORRUPCIÓN'!$AA$3:$AB$7,2,FALSE)</f>
        <v>RARA VEZ</v>
      </c>
      <c r="Y29" s="27">
        <f t="shared" ref="Y29" si="48">+VLOOKUP(V29,$AF$30:$AG$38,2,FALSE)</f>
        <v>5</v>
      </c>
      <c r="Z29" s="245" t="str">
        <f>+VLOOKUP(Y29,'[1]MATRIZ RIESGOS ANTICORRUPCIÓN'!$AC$3:$AD$5,2,FALSE)</f>
        <v>MODERADO</v>
      </c>
      <c r="AA29" s="27">
        <f t="shared" ref="AA29" si="49">+Y29*W29</f>
        <v>5</v>
      </c>
      <c r="AB29" s="256" t="str">
        <f>+VLOOKUP(AA29,'EVALUACIÓN DEL RIESGO'!$AU$10:$AW$23,3,FALSE)</f>
        <v>ZONA DE RIESGO BAJA</v>
      </c>
      <c r="AC29" s="20"/>
      <c r="AD29" s="255"/>
      <c r="AE29" s="252"/>
      <c r="AF29" s="252"/>
      <c r="AG29" s="252"/>
    </row>
    <row r="30" spans="1:34" ht="21.75" customHeight="1" thickTop="1" thickBot="1" x14ac:dyDescent="0.3">
      <c r="B30" s="261"/>
      <c r="C30" s="258">
        <f>+IF(C29="X",15,0)</f>
        <v>15</v>
      </c>
      <c r="D30" s="259"/>
      <c r="E30" s="258">
        <f>+IF(E29="X",5,0)</f>
        <v>5</v>
      </c>
      <c r="F30" s="259"/>
      <c r="G30" s="258">
        <f>+IF(G29="X",15,0)</f>
        <v>0</v>
      </c>
      <c r="H30" s="259"/>
      <c r="I30" s="258">
        <f>+IF(I29="X",10,0)</f>
        <v>10</v>
      </c>
      <c r="J30" s="259"/>
      <c r="K30" s="258">
        <f>+IF(K29="X",15,0)</f>
        <v>15</v>
      </c>
      <c r="L30" s="259"/>
      <c r="M30" s="258">
        <f>+IF(M29="X",10,0)</f>
        <v>10</v>
      </c>
      <c r="N30" s="259"/>
      <c r="O30" s="258">
        <f>+IF(O29="X",30,0)</f>
        <v>30</v>
      </c>
      <c r="P30" s="259"/>
      <c r="Q30" s="246"/>
      <c r="R30" s="246"/>
      <c r="S30" s="246"/>
      <c r="T30" s="28"/>
      <c r="U30" s="28"/>
      <c r="V30" s="28"/>
      <c r="W30" s="28"/>
      <c r="X30" s="246"/>
      <c r="Y30" s="28"/>
      <c r="Z30" s="246"/>
      <c r="AA30" s="28"/>
      <c r="AB30" s="257"/>
      <c r="AC30" s="20"/>
      <c r="AD30" s="26">
        <v>5</v>
      </c>
      <c r="AE30" s="26">
        <v>0</v>
      </c>
      <c r="AF30" s="26" t="str">
        <f>+CONCATENATE(AD30,AE30)</f>
        <v>50</v>
      </c>
      <c r="AG30" s="26">
        <v>5</v>
      </c>
    </row>
    <row r="31" spans="1:34" ht="54" customHeight="1" thickTop="1" thickBot="1" x14ac:dyDescent="0.3">
      <c r="B31" s="260" t="str">
        <f>+'EVALUACIÓN DEL RIESGO'!B18</f>
        <v>Generar condenas en contra de la sociedad que conlleven detrimento patrimonial y posibles acciones de repetición</v>
      </c>
      <c r="C31" s="23" t="s">
        <v>367</v>
      </c>
      <c r="D31" s="23"/>
      <c r="E31" s="23" t="s">
        <v>367</v>
      </c>
      <c r="F31" s="23"/>
      <c r="G31" s="23"/>
      <c r="H31" s="23" t="s">
        <v>367</v>
      </c>
      <c r="I31" s="23" t="s">
        <v>367</v>
      </c>
      <c r="J31" s="23"/>
      <c r="K31" s="23" t="s">
        <v>367</v>
      </c>
      <c r="L31" s="23"/>
      <c r="M31" s="23" t="s">
        <v>367</v>
      </c>
      <c r="N31" s="23"/>
      <c r="O31" s="23" t="s">
        <v>367</v>
      </c>
      <c r="P31" s="23"/>
      <c r="Q31" s="245">
        <f>+SUM(C32:P32)</f>
        <v>85</v>
      </c>
      <c r="R31" s="245">
        <f t="shared" ref="R31" si="50">+IF(Q31&lt;=50,0,IF(AND(Q31&gt;50,Q31&lt;=75),1,IF(Q31&gt;75,2)))</f>
        <v>2</v>
      </c>
      <c r="S31" s="245">
        <f>R31</f>
        <v>2</v>
      </c>
      <c r="T31" s="27" t="str">
        <f t="shared" ref="T31" si="51">+CONCATENATE(S31,R31)</f>
        <v>22</v>
      </c>
      <c r="U31" s="27">
        <f>+VLOOKUP(B31,'EVALUACIÓN DEL RIESGO'!$B$6:$AS$29,41,FALSE)</f>
        <v>10</v>
      </c>
      <c r="V31" s="27" t="str">
        <f t="shared" ref="V31" si="52">+CONCATENATE(U31,R31)</f>
        <v>102</v>
      </c>
      <c r="W31" s="27">
        <f>+VLOOKUP(T31,$AF$10:$AG$25,2,FALSE)</f>
        <v>1</v>
      </c>
      <c r="X31" s="245" t="str">
        <f>+VLOOKUP(W31,'[1]MATRIZ RIESGOS ANTICORRUPCIÓN'!$AA$3:$AB$7,2,FALSE)</f>
        <v>RARA VEZ</v>
      </c>
      <c r="Y31" s="27">
        <f t="shared" ref="Y31" si="53">+VLOOKUP(V31,$AF$30:$AG$38,2,FALSE)</f>
        <v>5</v>
      </c>
      <c r="Z31" s="245" t="str">
        <f>+VLOOKUP(Y31,'[1]MATRIZ RIESGOS ANTICORRUPCIÓN'!$AC$3:$AD$5,2,FALSE)</f>
        <v>MODERADO</v>
      </c>
      <c r="AA31" s="27">
        <f t="shared" ref="AA31" si="54">+Y31*W31</f>
        <v>5</v>
      </c>
      <c r="AB31" s="256" t="str">
        <f>+VLOOKUP(AA31,'EVALUACIÓN DEL RIESGO'!$AU$10:$AW$23,3,FALSE)</f>
        <v>ZONA DE RIESGO BAJA</v>
      </c>
      <c r="AC31" s="20"/>
      <c r="AD31" s="26">
        <v>5</v>
      </c>
      <c r="AE31" s="26">
        <v>1</v>
      </c>
      <c r="AF31" s="26" t="str">
        <f t="shared" ref="AF31:AF38" si="55">+CONCATENATE(AD31,AE31)</f>
        <v>51</v>
      </c>
      <c r="AG31" s="26">
        <v>5</v>
      </c>
    </row>
    <row r="32" spans="1:34" ht="21.75" customHeight="1" thickTop="1" thickBot="1" x14ac:dyDescent="0.3">
      <c r="B32" s="261"/>
      <c r="C32" s="258">
        <f>+IF(C31="X",15,0)</f>
        <v>15</v>
      </c>
      <c r="D32" s="259"/>
      <c r="E32" s="258">
        <f>+IF(E31="X",5,0)</f>
        <v>5</v>
      </c>
      <c r="F32" s="259"/>
      <c r="G32" s="258">
        <f>+IF(G31="X",15,0)</f>
        <v>0</v>
      </c>
      <c r="H32" s="259"/>
      <c r="I32" s="258">
        <f>+IF(I31="X",10,0)</f>
        <v>10</v>
      </c>
      <c r="J32" s="259"/>
      <c r="K32" s="258">
        <f>+IF(K31="X",15,0)</f>
        <v>15</v>
      </c>
      <c r="L32" s="259"/>
      <c r="M32" s="258">
        <f>+IF(M31="X",10,0)</f>
        <v>10</v>
      </c>
      <c r="N32" s="259"/>
      <c r="O32" s="258">
        <f>+IF(O31="X",30,0)</f>
        <v>30</v>
      </c>
      <c r="P32" s="259"/>
      <c r="Q32" s="246"/>
      <c r="R32" s="246"/>
      <c r="S32" s="246"/>
      <c r="T32" s="28"/>
      <c r="U32" s="28"/>
      <c r="V32" s="28"/>
      <c r="W32" s="28"/>
      <c r="X32" s="246"/>
      <c r="Y32" s="28"/>
      <c r="Z32" s="246"/>
      <c r="AA32" s="28"/>
      <c r="AB32" s="257"/>
      <c r="AC32" s="20"/>
      <c r="AD32" s="26">
        <v>5</v>
      </c>
      <c r="AE32" s="26">
        <v>2</v>
      </c>
      <c r="AF32" s="26" t="str">
        <f t="shared" si="55"/>
        <v>52</v>
      </c>
      <c r="AG32" s="26">
        <v>5</v>
      </c>
    </row>
    <row r="33" spans="2:33" ht="49" customHeight="1" thickTop="1" thickBot="1" x14ac:dyDescent="0.3">
      <c r="B33" s="260" t="str">
        <f>+'EVALUACIÓN DEL RIESGO'!B19</f>
        <v>Generar situaciones de incumplimiento que puedan conducir a demandas en contra de la sociedad por controversias contractuales</v>
      </c>
      <c r="C33" s="23" t="s">
        <v>367</v>
      </c>
      <c r="D33" s="23"/>
      <c r="E33" s="23" t="s">
        <v>367</v>
      </c>
      <c r="F33" s="23"/>
      <c r="G33" s="23"/>
      <c r="H33" s="23" t="s">
        <v>367</v>
      </c>
      <c r="I33" s="23" t="s">
        <v>367</v>
      </c>
      <c r="J33" s="23"/>
      <c r="K33" s="23" t="s">
        <v>367</v>
      </c>
      <c r="L33" s="23"/>
      <c r="M33" s="23" t="s">
        <v>367</v>
      </c>
      <c r="N33" s="23"/>
      <c r="O33" s="23" t="s">
        <v>367</v>
      </c>
      <c r="P33" s="23"/>
      <c r="Q33" s="245">
        <f>+SUM(C34:P34)</f>
        <v>85</v>
      </c>
      <c r="R33" s="245">
        <f t="shared" ref="R33" si="56">+IF(Q33&lt;=50,0,IF(AND(Q33&gt;50,Q33&lt;=75),1,IF(Q33&gt;75,2)))</f>
        <v>2</v>
      </c>
      <c r="S33" s="245">
        <f>R33</f>
        <v>2</v>
      </c>
      <c r="T33" s="27" t="str">
        <f t="shared" ref="T33" si="57">+CONCATENATE(S33,R33)</f>
        <v>22</v>
      </c>
      <c r="U33" s="27">
        <f>+VLOOKUP(B33,'EVALUACIÓN DEL RIESGO'!$B$6:$AS$29,41,FALSE)</f>
        <v>10</v>
      </c>
      <c r="V33" s="27" t="str">
        <f t="shared" ref="V33" si="58">+CONCATENATE(U33,R33)</f>
        <v>102</v>
      </c>
      <c r="W33" s="27">
        <f>+VLOOKUP(T33,$AF$10:$AG$25,2,FALSE)</f>
        <v>1</v>
      </c>
      <c r="X33" s="245" t="str">
        <f>+VLOOKUP(W33,'[1]MATRIZ RIESGOS ANTICORRUPCIÓN'!$AA$3:$AB$7,2,FALSE)</f>
        <v>RARA VEZ</v>
      </c>
      <c r="Y33" s="27">
        <f t="shared" ref="Y33" si="59">+VLOOKUP(V33,$AF$30:$AG$38,2,FALSE)</f>
        <v>5</v>
      </c>
      <c r="Z33" s="245" t="str">
        <f>+VLOOKUP(Y33,'[1]MATRIZ RIESGOS ANTICORRUPCIÓN'!$AC$3:$AD$5,2,FALSE)</f>
        <v>MODERADO</v>
      </c>
      <c r="AA33" s="27">
        <f t="shared" ref="AA33" si="60">+Y33*W33</f>
        <v>5</v>
      </c>
      <c r="AB33" s="256" t="str">
        <f>+VLOOKUP(AA33,'EVALUACIÓN DEL RIESGO'!$AU$10:$AW$23,3,FALSE)</f>
        <v>ZONA DE RIESGO BAJA</v>
      </c>
      <c r="AC33" s="20"/>
      <c r="AD33" s="26">
        <v>10</v>
      </c>
      <c r="AE33" s="26">
        <v>0</v>
      </c>
      <c r="AF33" s="26" t="str">
        <f t="shared" si="55"/>
        <v>100</v>
      </c>
      <c r="AG33" s="26">
        <v>10</v>
      </c>
    </row>
    <row r="34" spans="2:33" ht="21.75" customHeight="1" thickTop="1" thickBot="1" x14ac:dyDescent="0.3">
      <c r="B34" s="261"/>
      <c r="C34" s="258">
        <f>+IF(C33="X",15,0)</f>
        <v>15</v>
      </c>
      <c r="D34" s="259"/>
      <c r="E34" s="258">
        <f>+IF(E33="X",5,0)</f>
        <v>5</v>
      </c>
      <c r="F34" s="259"/>
      <c r="G34" s="258">
        <f>+IF(G33="X",15,0)</f>
        <v>0</v>
      </c>
      <c r="H34" s="259"/>
      <c r="I34" s="258">
        <f>+IF(I33="X",10,0)</f>
        <v>10</v>
      </c>
      <c r="J34" s="259"/>
      <c r="K34" s="258">
        <f>+IF(K33="X",15,0)</f>
        <v>15</v>
      </c>
      <c r="L34" s="259"/>
      <c r="M34" s="258">
        <f>+IF(M33="X",10,0)</f>
        <v>10</v>
      </c>
      <c r="N34" s="259"/>
      <c r="O34" s="258">
        <f>+IF(O33="X",30,0)</f>
        <v>30</v>
      </c>
      <c r="P34" s="259"/>
      <c r="Q34" s="246"/>
      <c r="R34" s="246"/>
      <c r="S34" s="246"/>
      <c r="T34" s="28"/>
      <c r="U34" s="28"/>
      <c r="V34" s="28"/>
      <c r="W34" s="28"/>
      <c r="X34" s="246"/>
      <c r="Y34" s="28"/>
      <c r="Z34" s="246"/>
      <c r="AA34" s="28"/>
      <c r="AB34" s="257"/>
      <c r="AC34" s="20"/>
      <c r="AD34" s="26">
        <v>10</v>
      </c>
      <c r="AE34" s="26">
        <v>1</v>
      </c>
      <c r="AF34" s="26" t="str">
        <f t="shared" si="55"/>
        <v>101</v>
      </c>
      <c r="AG34" s="26">
        <v>5</v>
      </c>
    </row>
    <row r="35" spans="2:33" ht="84" customHeight="1" thickTop="1" thickBot="1" x14ac:dyDescent="0.3">
      <c r="B35" s="260" t="str">
        <f>+'EVALUACIÓN DEL RIESGO'!B20</f>
        <v>Ocultar hallazgos y/o resultados de las auditorías lo cual impida identificar prácticas irregulares o corruptas y sus directos responsables que afecten los intereses de la compañía.</v>
      </c>
      <c r="C35" s="23" t="s">
        <v>367</v>
      </c>
      <c r="D35" s="23"/>
      <c r="E35" s="23" t="s">
        <v>367</v>
      </c>
      <c r="F35" s="23"/>
      <c r="G35" s="23"/>
      <c r="H35" s="23" t="s">
        <v>367</v>
      </c>
      <c r="I35" s="23" t="s">
        <v>367</v>
      </c>
      <c r="J35" s="23"/>
      <c r="K35" s="23" t="s">
        <v>367</v>
      </c>
      <c r="L35" s="23"/>
      <c r="M35" s="23" t="s">
        <v>367</v>
      </c>
      <c r="N35" s="23"/>
      <c r="O35" s="23" t="s">
        <v>367</v>
      </c>
      <c r="P35" s="23"/>
      <c r="Q35" s="245">
        <f>+SUM(C36:P36)</f>
        <v>85</v>
      </c>
      <c r="R35" s="245">
        <f>+IF(Q35&lt;=50,0,IF(AND(Q35&gt;50,Q35&lt;=75),1,IF(Q35&gt;75,2)))</f>
        <v>2</v>
      </c>
      <c r="S35" s="245">
        <f>R35</f>
        <v>2</v>
      </c>
      <c r="T35" s="27" t="str">
        <f t="shared" ref="T35" si="61">+CONCATENATE(S35,R35)</f>
        <v>22</v>
      </c>
      <c r="U35" s="27">
        <f>+VLOOKUP(B35,'EVALUACIÓN DEL RIESGO'!$B$6:$AS$29,41,FALSE)</f>
        <v>10</v>
      </c>
      <c r="V35" s="27" t="str">
        <f t="shared" ref="V35" si="62">+CONCATENATE(U35,R35)</f>
        <v>102</v>
      </c>
      <c r="W35" s="27">
        <f>+VLOOKUP(T35,$AF$10:$AG$25,2,FALSE)</f>
        <v>1</v>
      </c>
      <c r="X35" s="245" t="str">
        <f>+VLOOKUP(W35,'[1]MATRIZ RIESGOS ANTICORRUPCIÓN'!$AA$3:$AB$7,2,FALSE)</f>
        <v>RARA VEZ</v>
      </c>
      <c r="Y35" s="27">
        <f t="shared" ref="Y35" si="63">+VLOOKUP(V35,$AF$30:$AG$38,2,FALSE)</f>
        <v>5</v>
      </c>
      <c r="Z35" s="245" t="str">
        <f>+VLOOKUP(Y35,'[1]MATRIZ RIESGOS ANTICORRUPCIÓN'!$AC$3:$AD$5,2,FALSE)</f>
        <v>MODERADO</v>
      </c>
      <c r="AA35" s="27">
        <f t="shared" ref="AA35" si="64">+Y35*W35</f>
        <v>5</v>
      </c>
      <c r="AB35" s="256" t="str">
        <f>+VLOOKUP(AA35,'EVALUACIÓN DEL RIESGO'!$AU$10:$AW$23,3,FALSE)</f>
        <v>ZONA DE RIESGO BAJA</v>
      </c>
      <c r="AC35" s="20"/>
      <c r="AD35" s="26">
        <v>10</v>
      </c>
      <c r="AE35" s="26">
        <v>2</v>
      </c>
      <c r="AF35" s="26" t="str">
        <f t="shared" si="55"/>
        <v>102</v>
      </c>
      <c r="AG35" s="26">
        <v>5</v>
      </c>
    </row>
    <row r="36" spans="2:33" ht="21.75" customHeight="1" thickTop="1" thickBot="1" x14ac:dyDescent="0.3">
      <c r="B36" s="261"/>
      <c r="C36" s="258">
        <f>+IF(C35="X",15,0)</f>
        <v>15</v>
      </c>
      <c r="D36" s="259"/>
      <c r="E36" s="258">
        <f>+IF(E35="X",5,0)</f>
        <v>5</v>
      </c>
      <c r="F36" s="259"/>
      <c r="G36" s="258">
        <f>+IF(G35="X",15,0)</f>
        <v>0</v>
      </c>
      <c r="H36" s="259"/>
      <c r="I36" s="258">
        <f>+IF(I35="X",10,0)</f>
        <v>10</v>
      </c>
      <c r="J36" s="259"/>
      <c r="K36" s="258">
        <f>+IF(K35="X",15,0)</f>
        <v>15</v>
      </c>
      <c r="L36" s="259"/>
      <c r="M36" s="258">
        <f>+IF(M35="X",10,0)</f>
        <v>10</v>
      </c>
      <c r="N36" s="259"/>
      <c r="O36" s="258">
        <f>+IF(O35="X",30,0)</f>
        <v>30</v>
      </c>
      <c r="P36" s="259"/>
      <c r="Q36" s="246"/>
      <c r="R36" s="246"/>
      <c r="S36" s="246"/>
      <c r="T36" s="28"/>
      <c r="U36" s="28"/>
      <c r="V36" s="28"/>
      <c r="W36" s="28"/>
      <c r="X36" s="246"/>
      <c r="Y36" s="28"/>
      <c r="Z36" s="246"/>
      <c r="AA36" s="28"/>
      <c r="AB36" s="257"/>
      <c r="AC36" s="20"/>
      <c r="AD36" s="26">
        <v>20</v>
      </c>
      <c r="AE36" s="26">
        <v>0</v>
      </c>
      <c r="AF36" s="26" t="str">
        <f t="shared" si="55"/>
        <v>200</v>
      </c>
      <c r="AG36" s="26">
        <v>20</v>
      </c>
    </row>
    <row r="37" spans="2:33" ht="45.5" customHeight="1" thickTop="1" thickBot="1" x14ac:dyDescent="0.3">
      <c r="B37" s="260" t="str">
        <f>+'EVALUACIÓN DEL RIESGO'!B21</f>
        <v>Incumplimiento al plan estratégico aprobado por la junta directiva de la Sociedad Tequendam</v>
      </c>
      <c r="C37" s="23" t="s">
        <v>367</v>
      </c>
      <c r="D37" s="23"/>
      <c r="E37" s="23" t="s">
        <v>367</v>
      </c>
      <c r="F37" s="23"/>
      <c r="G37" s="23"/>
      <c r="H37" s="23" t="s">
        <v>367</v>
      </c>
      <c r="I37" s="23" t="s">
        <v>367</v>
      </c>
      <c r="J37" s="23"/>
      <c r="K37" s="23" t="s">
        <v>367</v>
      </c>
      <c r="L37" s="23"/>
      <c r="M37" s="23" t="s">
        <v>367</v>
      </c>
      <c r="N37" s="23"/>
      <c r="O37" s="23" t="s">
        <v>367</v>
      </c>
      <c r="P37" s="23"/>
      <c r="Q37" s="245">
        <f>+SUM(C38:P38)</f>
        <v>85</v>
      </c>
      <c r="R37" s="245">
        <f t="shared" ref="R37" si="65">+IF(Q37&lt;=50,0,IF(AND(Q37&gt;50,Q37&lt;=75),1,IF(Q37&gt;75,2)))</f>
        <v>2</v>
      </c>
      <c r="S37" s="245">
        <f>R37</f>
        <v>2</v>
      </c>
      <c r="T37" s="245" t="str">
        <f t="shared" ref="T37" si="66">+CONCATENATE(S37,R37)</f>
        <v>22</v>
      </c>
      <c r="U37" s="245">
        <f>+VLOOKUP(B37,'EVALUACIÓN DEL RIESGO'!$B$6:$AS$29,41,FALSE)</f>
        <v>10</v>
      </c>
      <c r="V37" s="245" t="str">
        <f t="shared" ref="V37" si="67">+CONCATENATE(U37,R37)</f>
        <v>102</v>
      </c>
      <c r="W37" s="245">
        <f>+VLOOKUP(T37,$AF$10:$AG$25,2,FALSE)</f>
        <v>1</v>
      </c>
      <c r="X37" s="245" t="str">
        <f>+VLOOKUP(W37,'[1]MATRIZ RIESGOS ANTICORRUPCIÓN'!$AA$3:$AB$7,2,FALSE)</f>
        <v>RARA VEZ</v>
      </c>
      <c r="Y37" s="245">
        <f t="shared" ref="Y37" si="68">+VLOOKUP(V37,$AF$30:$AG$38,2,FALSE)</f>
        <v>5</v>
      </c>
      <c r="Z37" s="245" t="str">
        <f>+VLOOKUP(Y37,'[1]MATRIZ RIESGOS ANTICORRUPCIÓN'!$AC$3:$AD$5,2,FALSE)</f>
        <v>MODERADO</v>
      </c>
      <c r="AA37" s="245">
        <f t="shared" ref="AA37" si="69">+Y37*W37</f>
        <v>5</v>
      </c>
      <c r="AB37" s="256" t="str">
        <f>+VLOOKUP(AA37,'EVALUACIÓN DEL RIESGO'!$AU$10:$AW$23,3,FALSE)</f>
        <v>ZONA DE RIESGO BAJA</v>
      </c>
      <c r="AC37" s="20"/>
      <c r="AD37" s="26">
        <v>20</v>
      </c>
      <c r="AE37" s="26">
        <v>1</v>
      </c>
      <c r="AF37" s="26" t="str">
        <f t="shared" si="55"/>
        <v>201</v>
      </c>
      <c r="AG37" s="26">
        <v>10</v>
      </c>
    </row>
    <row r="38" spans="2:33" ht="21.75" customHeight="1" thickTop="1" thickBot="1" x14ac:dyDescent="0.3">
      <c r="B38" s="261"/>
      <c r="C38" s="258">
        <f>+IF(C37="X",15,0)</f>
        <v>15</v>
      </c>
      <c r="D38" s="259"/>
      <c r="E38" s="258">
        <f>+IF(E37="X",5,0)</f>
        <v>5</v>
      </c>
      <c r="F38" s="259"/>
      <c r="G38" s="258">
        <f>+IF(G37="X",15,0)</f>
        <v>0</v>
      </c>
      <c r="H38" s="259"/>
      <c r="I38" s="258">
        <f>+IF(I37="X",10,0)</f>
        <v>10</v>
      </c>
      <c r="J38" s="259"/>
      <c r="K38" s="258">
        <f>+IF(K37="X",15,0)</f>
        <v>15</v>
      </c>
      <c r="L38" s="259"/>
      <c r="M38" s="258">
        <f>+IF(M37="X",10,0)</f>
        <v>10</v>
      </c>
      <c r="N38" s="259"/>
      <c r="O38" s="258">
        <f>+IF(O37="X",30,0)</f>
        <v>30</v>
      </c>
      <c r="P38" s="259"/>
      <c r="Q38" s="246"/>
      <c r="R38" s="246"/>
      <c r="S38" s="246"/>
      <c r="T38" s="246"/>
      <c r="U38" s="246"/>
      <c r="V38" s="246"/>
      <c r="W38" s="246"/>
      <c r="X38" s="246"/>
      <c r="Y38" s="246"/>
      <c r="Z38" s="246"/>
      <c r="AA38" s="246"/>
      <c r="AB38" s="257"/>
      <c r="AC38" s="20"/>
      <c r="AD38" s="26">
        <v>20</v>
      </c>
      <c r="AE38" s="26">
        <v>2</v>
      </c>
      <c r="AF38" s="26" t="str">
        <f t="shared" si="55"/>
        <v>202</v>
      </c>
      <c r="AG38" s="26">
        <v>5</v>
      </c>
    </row>
    <row r="39" spans="2:33" ht="21.75" customHeight="1" thickTop="1" thickBot="1" x14ac:dyDescent="0.3">
      <c r="B39" s="260" t="str">
        <f>+'EVALUACIÓN DEL RIESGO'!B22</f>
        <v xml:space="preserve">Perdida de la trazabilidad de la información de lso SIG
Soborno en procesos de auditorias.  </v>
      </c>
      <c r="C39" s="23" t="s">
        <v>367</v>
      </c>
      <c r="D39" s="23"/>
      <c r="E39" s="23" t="s">
        <v>367</v>
      </c>
      <c r="F39" s="23"/>
      <c r="G39" s="23"/>
      <c r="H39" s="23" t="s">
        <v>367</v>
      </c>
      <c r="I39" s="23" t="s">
        <v>367</v>
      </c>
      <c r="J39" s="23"/>
      <c r="K39" s="23" t="s">
        <v>367</v>
      </c>
      <c r="L39" s="23"/>
      <c r="M39" s="23" t="s">
        <v>367</v>
      </c>
      <c r="N39" s="23"/>
      <c r="O39" s="23" t="s">
        <v>367</v>
      </c>
      <c r="P39" s="23"/>
      <c r="Q39" s="245">
        <f>+SUM(C40:P40)</f>
        <v>85</v>
      </c>
      <c r="R39" s="245">
        <f t="shared" ref="R39" si="70">+IF(Q39&lt;=50,0,IF(AND(Q39&gt;50,Q39&lt;=75),1,IF(Q39&gt;75,2)))</f>
        <v>2</v>
      </c>
      <c r="S39" s="245">
        <f>R39</f>
        <v>2</v>
      </c>
      <c r="T39" s="245" t="str">
        <f t="shared" ref="T39" si="71">+CONCATENATE(S39,R39)</f>
        <v>22</v>
      </c>
      <c r="U39" s="245">
        <f>+VLOOKUP(B39,'EVALUACIÓN DEL RIESGO'!$B$6:$AS$29,41,FALSE)</f>
        <v>10</v>
      </c>
      <c r="V39" s="245" t="str">
        <f t="shared" ref="V39" si="72">+CONCATENATE(U39,R39)</f>
        <v>102</v>
      </c>
      <c r="W39" s="245">
        <f>+VLOOKUP(T39,$AF$10:$AG$25,2,FALSE)</f>
        <v>1</v>
      </c>
      <c r="X39" s="245" t="str">
        <f>+VLOOKUP(W39,'[1]MATRIZ RIESGOS ANTICORRUPCIÓN'!$AA$3:$AB$7,2,FALSE)</f>
        <v>RARA VEZ</v>
      </c>
      <c r="Y39" s="245">
        <f t="shared" ref="Y39" si="73">+VLOOKUP(V39,$AF$30:$AG$38,2,FALSE)</f>
        <v>5</v>
      </c>
      <c r="Z39" s="245" t="str">
        <f>+VLOOKUP(Y39,'[1]MATRIZ RIESGOS ANTICORRUPCIÓN'!$AC$3:$AD$5,2,FALSE)</f>
        <v>MODERADO</v>
      </c>
      <c r="AA39" s="245">
        <f t="shared" ref="AA39" si="74">+Y39*W39</f>
        <v>5</v>
      </c>
      <c r="AB39" s="256" t="str">
        <f>+VLOOKUP(AA39,'EVALUACIÓN DEL RIESGO'!$AU$10:$AW$23,3,FALSE)</f>
        <v>ZONA DE RIESGO BAJA</v>
      </c>
      <c r="AC39" s="20"/>
      <c r="AD39" s="20"/>
      <c r="AE39" s="20"/>
      <c r="AF39" s="20"/>
      <c r="AG39" s="20"/>
    </row>
    <row r="40" spans="2:33" ht="36.5" customHeight="1" thickTop="1" thickBot="1" x14ac:dyDescent="0.3">
      <c r="B40" s="261"/>
      <c r="C40" s="258">
        <f>+IF(C39="X",15,0)</f>
        <v>15</v>
      </c>
      <c r="D40" s="259"/>
      <c r="E40" s="258">
        <f>+IF(E39="X",5,0)</f>
        <v>5</v>
      </c>
      <c r="F40" s="259"/>
      <c r="G40" s="258">
        <f>+IF(G39="X",15,0)</f>
        <v>0</v>
      </c>
      <c r="H40" s="259"/>
      <c r="I40" s="258">
        <f>+IF(I39="X",10,0)</f>
        <v>10</v>
      </c>
      <c r="J40" s="259"/>
      <c r="K40" s="258">
        <f>+IF(K39="X",15,0)</f>
        <v>15</v>
      </c>
      <c r="L40" s="259"/>
      <c r="M40" s="258">
        <f>+IF(M39="X",10,0)</f>
        <v>10</v>
      </c>
      <c r="N40" s="259"/>
      <c r="O40" s="258">
        <f>+IF(O39="X",30,0)</f>
        <v>30</v>
      </c>
      <c r="P40" s="259"/>
      <c r="Q40" s="246"/>
      <c r="R40" s="246"/>
      <c r="S40" s="246"/>
      <c r="T40" s="246"/>
      <c r="U40" s="246"/>
      <c r="V40" s="246"/>
      <c r="W40" s="246"/>
      <c r="X40" s="246"/>
      <c r="Y40" s="246"/>
      <c r="Z40" s="246"/>
      <c r="AA40" s="246"/>
      <c r="AB40" s="257"/>
      <c r="AC40" s="20"/>
      <c r="AD40" s="20"/>
      <c r="AE40" s="20"/>
      <c r="AF40" s="20"/>
      <c r="AG40" s="20"/>
    </row>
    <row r="41" spans="2:33" ht="56.5" customHeight="1" thickTop="1" thickBot="1" x14ac:dyDescent="0.3">
      <c r="B41" s="265" t="str">
        <f>+'EVALUACIÓN DEL RIESGO'!B23</f>
        <v xml:space="preserve">Abuso de la información y el uso de la imagen o nombre de la Sociedad para el beneficio propio o de una empresa </v>
      </c>
      <c r="C41" s="23" t="s">
        <v>367</v>
      </c>
      <c r="D41" s="23"/>
      <c r="E41" s="23" t="s">
        <v>367</v>
      </c>
      <c r="F41" s="23"/>
      <c r="G41" s="23"/>
      <c r="H41" s="23" t="s">
        <v>367</v>
      </c>
      <c r="I41" s="23" t="s">
        <v>367</v>
      </c>
      <c r="J41" s="23"/>
      <c r="K41" s="23" t="s">
        <v>367</v>
      </c>
      <c r="L41" s="23"/>
      <c r="M41" s="23" t="s">
        <v>367</v>
      </c>
      <c r="N41" s="23"/>
      <c r="O41" s="23" t="s">
        <v>367</v>
      </c>
      <c r="P41" s="23"/>
      <c r="Q41" s="245">
        <f t="shared" ref="Q41" si="75">+SUM(C42:P42)</f>
        <v>85</v>
      </c>
      <c r="R41" s="27">
        <f t="shared" ref="R41" si="76">+IF(Q41&lt;=50,0,IF(AND(Q41&gt;50,Q41&lt;=75),1,IF(Q41&gt;75,2)))</f>
        <v>2</v>
      </c>
      <c r="S41" s="27">
        <f>R41</f>
        <v>2</v>
      </c>
      <c r="T41" s="27" t="str">
        <f t="shared" ref="T41" si="77">+CONCATENATE(S41,R41)</f>
        <v>22</v>
      </c>
      <c r="U41" s="27">
        <f>+VLOOKUP(B41,'EVALUACIÓN DEL RIESGO'!$B$6:$AS$29,41,FALSE)</f>
        <v>20</v>
      </c>
      <c r="V41" s="27" t="str">
        <f t="shared" ref="V41" si="78">+CONCATENATE(U41,R41)</f>
        <v>202</v>
      </c>
      <c r="W41" s="27">
        <f>+VLOOKUP(T41,$AF$10:$AG$25,2,FALSE)</f>
        <v>1</v>
      </c>
      <c r="X41" s="27" t="str">
        <f>+VLOOKUP(W41,'[1]MATRIZ RIESGOS ANTICORRUPCIÓN'!$AA$3:$AB$7,2,FALSE)</f>
        <v>RARA VEZ</v>
      </c>
      <c r="Y41" s="27">
        <f t="shared" ref="Y41" si="79">+VLOOKUP(V41,$AF$30:$AG$38,2,FALSE)</f>
        <v>5</v>
      </c>
      <c r="Z41" s="27" t="str">
        <f>+VLOOKUP(Y41,'[1]MATRIZ RIESGOS ANTICORRUPCIÓN'!$AC$3:$AD$5,2,FALSE)</f>
        <v>MODERADO</v>
      </c>
      <c r="AA41" s="27">
        <f t="shared" ref="AA41" si="80">+Y41*W41</f>
        <v>5</v>
      </c>
      <c r="AB41" s="134" t="str">
        <f>+VLOOKUP(AA41,'EVALUACIÓN DEL RIESGO'!$AU$10:$AW$23,3,FALSE)</f>
        <v>ZONA DE RIESGO BAJA</v>
      </c>
      <c r="AC41" s="20"/>
      <c r="AD41" s="20"/>
      <c r="AE41" s="20"/>
      <c r="AF41" s="20"/>
      <c r="AG41" s="20"/>
    </row>
    <row r="42" spans="2:33" ht="21.75" customHeight="1" thickTop="1" thickBot="1" x14ac:dyDescent="0.3">
      <c r="B42" s="266"/>
      <c r="C42" s="258">
        <f>+IF(C41="X",15,0)</f>
        <v>15</v>
      </c>
      <c r="D42" s="259"/>
      <c r="E42" s="258">
        <f>+IF(E41="X",5,0)</f>
        <v>5</v>
      </c>
      <c r="F42" s="259"/>
      <c r="G42" s="258">
        <f>+IF(G41="X",15,0)</f>
        <v>0</v>
      </c>
      <c r="H42" s="259"/>
      <c r="I42" s="258">
        <f>+IF(I41="X",10,0)</f>
        <v>10</v>
      </c>
      <c r="J42" s="259"/>
      <c r="K42" s="258">
        <f>+IF(K41="X",15,0)</f>
        <v>15</v>
      </c>
      <c r="L42" s="259"/>
      <c r="M42" s="258">
        <f>+IF(M41="X",10,0)</f>
        <v>10</v>
      </c>
      <c r="N42" s="259"/>
      <c r="O42" s="258">
        <f>+IF(O41="X",30,0)</f>
        <v>30</v>
      </c>
      <c r="P42" s="259"/>
      <c r="Q42" s="246"/>
      <c r="R42" s="139"/>
      <c r="S42" s="139"/>
      <c r="T42" s="139"/>
      <c r="U42" s="139"/>
      <c r="V42" s="139"/>
      <c r="W42" s="139"/>
      <c r="X42" s="139"/>
      <c r="Y42" s="139"/>
      <c r="Z42" s="139"/>
      <c r="AA42" s="139"/>
      <c r="AB42" s="140"/>
      <c r="AC42" s="20"/>
      <c r="AD42" s="20"/>
      <c r="AE42" s="20"/>
      <c r="AF42" s="20"/>
      <c r="AG42" s="20"/>
    </row>
    <row r="43" spans="2:33" ht="60.5" customHeight="1" thickTop="1" thickBot="1" x14ac:dyDescent="0.3">
      <c r="B43" s="265" t="e">
        <f>+'EVALUACIÓN DEL RIESGO'!B24</f>
        <v>#REF!</v>
      </c>
      <c r="C43" s="23"/>
      <c r="D43" s="23"/>
      <c r="E43" s="23"/>
      <c r="F43" s="23"/>
      <c r="G43" s="23"/>
      <c r="H43" s="23"/>
      <c r="I43" s="23"/>
      <c r="J43" s="23"/>
      <c r="K43" s="23"/>
      <c r="L43" s="23"/>
      <c r="M43" s="23"/>
      <c r="N43" s="23"/>
      <c r="O43" s="23"/>
      <c r="P43" s="23"/>
      <c r="Q43" s="245">
        <f t="shared" ref="Q43" si="81">+SUM(C44:P44)</f>
        <v>0</v>
      </c>
      <c r="R43" s="27">
        <f t="shared" ref="R43" si="82">+IF(Q43&lt;=50,0,IF(AND(Q43&gt;50,Q43&lt;=75),1,IF(Q43&gt;75,2)))</f>
        <v>0</v>
      </c>
      <c r="S43" s="27">
        <f>R43</f>
        <v>0</v>
      </c>
      <c r="T43" s="27" t="str">
        <f t="shared" ref="T43" si="83">+CONCATENATE(S43,R43)</f>
        <v>00</v>
      </c>
      <c r="U43" s="27" t="e">
        <f>+VLOOKUP(B43,'EVALUACIÓN DEL RIESGO'!$B$6:$AS$29,41,FALSE)</f>
        <v>#REF!</v>
      </c>
      <c r="V43" s="27" t="e">
        <f t="shared" ref="V43" si="84">+CONCATENATE(U43,R43)</f>
        <v>#REF!</v>
      </c>
      <c r="W43" s="27">
        <v>1</v>
      </c>
      <c r="X43" s="27" t="str">
        <f>+VLOOKUP(W43,'[1]MATRIZ RIESGOS ANTICORRUPCIÓN'!$AA$3:$AB$7,2,FALSE)</f>
        <v>RARA VEZ</v>
      </c>
      <c r="Y43" s="27" t="e">
        <f t="shared" ref="Y43" si="85">+VLOOKUP(V43,$AF$30:$AG$38,2,FALSE)</f>
        <v>#REF!</v>
      </c>
      <c r="Z43" s="27" t="e">
        <f>+VLOOKUP(Y43,'[1]MATRIZ RIESGOS ANTICORRUPCIÓN'!$AC$3:$AD$5,2,FALSE)</f>
        <v>#REF!</v>
      </c>
      <c r="AA43" s="27" t="e">
        <f t="shared" ref="AA43" si="86">+Y43*W43</f>
        <v>#REF!</v>
      </c>
      <c r="AB43" s="134" t="e">
        <f>+VLOOKUP(AA43,'EVALUACIÓN DEL RIESGO'!$AU$10:$AW$23,3,FALSE)</f>
        <v>#REF!</v>
      </c>
      <c r="AC43" s="20"/>
      <c r="AD43" s="20"/>
      <c r="AE43" s="20"/>
      <c r="AF43" s="20"/>
      <c r="AG43" s="20"/>
    </row>
    <row r="44" spans="2:33" ht="21.75" customHeight="1" thickTop="1" thickBot="1" x14ac:dyDescent="0.3">
      <c r="B44" s="266"/>
      <c r="C44" s="258">
        <f>+IF(C42="X",15,0)</f>
        <v>0</v>
      </c>
      <c r="D44" s="259"/>
      <c r="E44" s="258">
        <f>+IF(E42="X",5,0)</f>
        <v>0</v>
      </c>
      <c r="F44" s="259"/>
      <c r="G44" s="258">
        <f>+IF(G42="X",15,0)</f>
        <v>0</v>
      </c>
      <c r="H44" s="259"/>
      <c r="I44" s="258">
        <f>+IF(I42="X",10,0)</f>
        <v>0</v>
      </c>
      <c r="J44" s="259"/>
      <c r="K44" s="258">
        <f>+IF(K42="X",15,0)</f>
        <v>0</v>
      </c>
      <c r="L44" s="259"/>
      <c r="M44" s="258">
        <f>+IF(M42="X",10,0)</f>
        <v>0</v>
      </c>
      <c r="N44" s="259"/>
      <c r="O44" s="258">
        <f>+IF(O42="X",30,0)</f>
        <v>0</v>
      </c>
      <c r="P44" s="259"/>
      <c r="Q44" s="246"/>
      <c r="R44" s="139"/>
      <c r="S44" s="139"/>
      <c r="T44" s="139"/>
      <c r="U44" s="139"/>
      <c r="V44" s="139"/>
      <c r="W44" s="139"/>
      <c r="X44" s="139"/>
      <c r="Y44" s="139"/>
      <c r="Z44" s="139"/>
      <c r="AA44" s="139"/>
      <c r="AB44" s="140"/>
      <c r="AC44" s="20"/>
      <c r="AD44" s="20"/>
      <c r="AE44" s="20"/>
      <c r="AF44" s="20"/>
      <c r="AG44" s="20"/>
    </row>
    <row r="45" spans="2:33" ht="37.5" customHeight="1" thickTop="1" thickBot="1" x14ac:dyDescent="0.3">
      <c r="B45" s="265" t="str">
        <f>+'EVALUACIÓN DEL RIESGO'!B25</f>
        <v>Pérdida de dinero en efectivo correspondiente al recaudo de las ventas en los diferentes puntos.</v>
      </c>
      <c r="C45" s="23" t="s">
        <v>367</v>
      </c>
      <c r="D45" s="23"/>
      <c r="E45" s="23" t="s">
        <v>367</v>
      </c>
      <c r="F45" s="23"/>
      <c r="G45" s="23"/>
      <c r="H45" s="23" t="s">
        <v>367</v>
      </c>
      <c r="I45" s="23" t="s">
        <v>367</v>
      </c>
      <c r="J45" s="23"/>
      <c r="K45" s="23" t="s">
        <v>367</v>
      </c>
      <c r="L45" s="23"/>
      <c r="M45" s="23" t="s">
        <v>367</v>
      </c>
      <c r="N45" s="23"/>
      <c r="O45" s="23" t="s">
        <v>367</v>
      </c>
      <c r="P45" s="23"/>
      <c r="Q45" s="245">
        <f t="shared" ref="Q45" si="87">+SUM(C46:P46)</f>
        <v>85</v>
      </c>
      <c r="R45" s="27">
        <f t="shared" ref="R45" si="88">+IF(Q45&lt;=50,0,IF(AND(Q45&gt;50,Q45&lt;=75),1,IF(Q45&gt;75,2)))</f>
        <v>2</v>
      </c>
      <c r="S45" s="27">
        <f>R45</f>
        <v>2</v>
      </c>
      <c r="T45" s="27" t="str">
        <f t="shared" ref="T45" si="89">+CONCATENATE(S45,R45)</f>
        <v>22</v>
      </c>
      <c r="U45" s="27">
        <f>+VLOOKUP(B45,'EVALUACIÓN DEL RIESGO'!$B$6:$AS$29,41,FALSE)</f>
        <v>10</v>
      </c>
      <c r="V45" s="27" t="str">
        <f t="shared" ref="V45" si="90">+CONCATENATE(U45,R45)</f>
        <v>102</v>
      </c>
      <c r="W45" s="27">
        <f>+VLOOKUP(T45,$AF$10:$AG$25,2,FALSE)</f>
        <v>1</v>
      </c>
      <c r="X45" s="27" t="str">
        <f>+VLOOKUP(W45,'[1]MATRIZ RIESGOS ANTICORRUPCIÓN'!$AA$3:$AB$7,2,FALSE)</f>
        <v>RARA VEZ</v>
      </c>
      <c r="Y45" s="27">
        <f t="shared" ref="Y45" si="91">+VLOOKUP(V45,$AF$30:$AG$38,2,FALSE)</f>
        <v>5</v>
      </c>
      <c r="Z45" s="27" t="str">
        <f>+VLOOKUP(Y45,'[1]MATRIZ RIESGOS ANTICORRUPCIÓN'!$AC$3:$AD$5,2,FALSE)</f>
        <v>MODERADO</v>
      </c>
      <c r="AA45" s="27">
        <f t="shared" ref="AA45" si="92">+Y45*W45</f>
        <v>5</v>
      </c>
      <c r="AB45" s="134" t="str">
        <f>+VLOOKUP(AA45,'EVALUACIÓN DEL RIESGO'!$AU$10:$AW$23,3,FALSE)</f>
        <v>ZONA DE RIESGO BAJA</v>
      </c>
      <c r="AC45" s="20"/>
      <c r="AD45" s="20"/>
      <c r="AE45" s="20"/>
      <c r="AF45" s="20"/>
      <c r="AG45" s="20"/>
    </row>
    <row r="46" spans="2:33" ht="21.75" customHeight="1" thickTop="1" thickBot="1" x14ac:dyDescent="0.3">
      <c r="B46" s="266"/>
      <c r="C46" s="258">
        <f>+IF(C45="X",15,0)</f>
        <v>15</v>
      </c>
      <c r="D46" s="259"/>
      <c r="E46" s="258">
        <f>+IF(E45="X",5,0)</f>
        <v>5</v>
      </c>
      <c r="F46" s="259"/>
      <c r="G46" s="258">
        <f>+IF(G45="X",15,0)</f>
        <v>0</v>
      </c>
      <c r="H46" s="259"/>
      <c r="I46" s="258">
        <f>+IF(I45="X",10,0)</f>
        <v>10</v>
      </c>
      <c r="J46" s="259"/>
      <c r="K46" s="258">
        <f>+IF(K45="X",15,0)</f>
        <v>15</v>
      </c>
      <c r="L46" s="259"/>
      <c r="M46" s="258">
        <f>+IF(M45="X",10,0)</f>
        <v>10</v>
      </c>
      <c r="N46" s="259"/>
      <c r="O46" s="258">
        <f>+IF(O45="X",30,0)</f>
        <v>30</v>
      </c>
      <c r="P46" s="259"/>
      <c r="Q46" s="246"/>
      <c r="R46" s="139"/>
      <c r="S46" s="139"/>
      <c r="T46" s="139"/>
      <c r="U46" s="139"/>
      <c r="V46" s="139"/>
      <c r="W46" s="139"/>
      <c r="X46" s="139"/>
      <c r="Y46" s="139"/>
      <c r="Z46" s="139"/>
      <c r="AA46" s="139"/>
      <c r="AB46" s="140"/>
      <c r="AC46" s="20"/>
      <c r="AD46" s="20"/>
      <c r="AE46" s="20"/>
      <c r="AF46" s="20"/>
      <c r="AG46" s="20"/>
    </row>
    <row r="47" spans="2:33" ht="38" customHeight="1" thickTop="1" thickBot="1" x14ac:dyDescent="0.3">
      <c r="B47" s="256" t="str">
        <f>+'EVALUACIÓN DEL RIESGO'!B26</f>
        <v>Pérdida de materia prima</v>
      </c>
      <c r="C47" s="23" t="s">
        <v>367</v>
      </c>
      <c r="D47" s="23"/>
      <c r="E47" s="23" t="s">
        <v>367</v>
      </c>
      <c r="F47" s="23"/>
      <c r="G47" s="23"/>
      <c r="H47" s="23" t="s">
        <v>367</v>
      </c>
      <c r="I47" s="23" t="s">
        <v>367</v>
      </c>
      <c r="J47" s="23"/>
      <c r="K47" s="23" t="s">
        <v>367</v>
      </c>
      <c r="L47" s="23"/>
      <c r="M47" s="23" t="s">
        <v>367</v>
      </c>
      <c r="N47" s="23"/>
      <c r="O47" s="23" t="s">
        <v>367</v>
      </c>
      <c r="P47" s="23"/>
      <c r="Q47" s="245">
        <f t="shared" ref="Q47" si="93">+SUM(C48:P48)</f>
        <v>85</v>
      </c>
      <c r="R47" s="27">
        <f t="shared" ref="R47" si="94">+IF(Q47&lt;=50,0,IF(AND(Q47&gt;50,Q47&lt;=75),1,IF(Q47&gt;75,2)))</f>
        <v>2</v>
      </c>
      <c r="S47" s="27">
        <f>R47</f>
        <v>2</v>
      </c>
      <c r="T47" s="27" t="str">
        <f t="shared" ref="T47" si="95">+CONCATENATE(S47,R47)</f>
        <v>22</v>
      </c>
      <c r="U47" s="27">
        <f>+VLOOKUP(B47,'EVALUACIÓN DEL RIESGO'!$B$6:$AS$29,41,FALSE)</f>
        <v>10</v>
      </c>
      <c r="V47" s="27" t="str">
        <f t="shared" ref="V47" si="96">+CONCATENATE(U47,R47)</f>
        <v>102</v>
      </c>
      <c r="W47" s="27">
        <f>+VLOOKUP(T47,$AF$10:$AG$25,2,FALSE)</f>
        <v>1</v>
      </c>
      <c r="X47" s="27" t="str">
        <f>+VLOOKUP(W47,'[1]MATRIZ RIESGOS ANTICORRUPCIÓN'!$AA$3:$AB$7,2,FALSE)</f>
        <v>RARA VEZ</v>
      </c>
      <c r="Y47" s="27">
        <f t="shared" ref="Y47" si="97">+VLOOKUP(V47,$AF$30:$AG$38,2,FALSE)</f>
        <v>5</v>
      </c>
      <c r="Z47" s="27" t="str">
        <f>+VLOOKUP(Y47,'[1]MATRIZ RIESGOS ANTICORRUPCIÓN'!$AC$3:$AD$5,2,FALSE)</f>
        <v>MODERADO</v>
      </c>
      <c r="AA47" s="27">
        <f t="shared" ref="AA47" si="98">+Y47*W47</f>
        <v>5</v>
      </c>
      <c r="AB47" s="134" t="str">
        <f>+VLOOKUP(AA47,'EVALUACIÓN DEL RIESGO'!$AU$10:$AW$23,3,FALSE)</f>
        <v>ZONA DE RIESGO BAJA</v>
      </c>
      <c r="AC47" s="20"/>
      <c r="AD47" s="20"/>
      <c r="AE47" s="20"/>
      <c r="AF47" s="20"/>
      <c r="AG47" s="20"/>
    </row>
    <row r="48" spans="2:33" ht="21.75" customHeight="1" thickTop="1" thickBot="1" x14ac:dyDescent="0.3">
      <c r="B48" s="267"/>
      <c r="C48" s="258">
        <f>+IF(C47="X",15,0)</f>
        <v>15</v>
      </c>
      <c r="D48" s="259"/>
      <c r="E48" s="258">
        <f>+IF(E47="X",5,0)</f>
        <v>5</v>
      </c>
      <c r="F48" s="259"/>
      <c r="G48" s="258">
        <f>+IF(G47="X",15,0)</f>
        <v>0</v>
      </c>
      <c r="H48" s="259"/>
      <c r="I48" s="258">
        <f>+IF(I47="X",10,0)</f>
        <v>10</v>
      </c>
      <c r="J48" s="259"/>
      <c r="K48" s="258">
        <f>+IF(K47="X",15,0)</f>
        <v>15</v>
      </c>
      <c r="L48" s="259"/>
      <c r="M48" s="258">
        <f>+IF(M47="X",10,0)</f>
        <v>10</v>
      </c>
      <c r="N48" s="259"/>
      <c r="O48" s="258">
        <f>+IF(O47="X",30,0)</f>
        <v>30</v>
      </c>
      <c r="P48" s="259"/>
      <c r="Q48" s="246"/>
      <c r="R48" s="139"/>
      <c r="S48" s="139"/>
      <c r="T48" s="139"/>
      <c r="U48" s="139"/>
      <c r="V48" s="139"/>
      <c r="W48" s="139"/>
      <c r="X48" s="139"/>
      <c r="Y48" s="139"/>
      <c r="Z48" s="139"/>
      <c r="AA48" s="139"/>
      <c r="AB48" s="140"/>
      <c r="AC48" s="20"/>
      <c r="AD48" s="20"/>
      <c r="AE48" s="20"/>
      <c r="AF48" s="20"/>
      <c r="AG48" s="20"/>
    </row>
    <row r="49" spans="2:33" ht="14" thickTop="1" x14ac:dyDescent="0.25"/>
    <row r="50" spans="2:33" ht="14.5" hidden="1" thickTop="1" thickBot="1" x14ac:dyDescent="0.3">
      <c r="B50" s="138"/>
      <c r="C50" s="136" t="e">
        <f>+IF(#REF!="X",15,0)</f>
        <v>#REF!</v>
      </c>
      <c r="D50" s="137"/>
      <c r="E50" s="136" t="e">
        <f>+IF(#REF!="X",5,0)</f>
        <v>#REF!</v>
      </c>
      <c r="F50" s="137"/>
      <c r="G50" s="136" t="e">
        <f>+IF(#REF!="X",15,0)</f>
        <v>#REF!</v>
      </c>
      <c r="H50" s="137"/>
      <c r="I50" s="136" t="e">
        <f>+IF(#REF!="X",10,0)</f>
        <v>#REF!</v>
      </c>
      <c r="J50" s="137"/>
      <c r="K50" s="136" t="e">
        <f>+IF(#REF!="X",15,0)</f>
        <v>#REF!</v>
      </c>
      <c r="L50" s="137"/>
      <c r="M50" s="136" t="e">
        <f>+IF(#REF!="X",10,0)</f>
        <v>#REF!</v>
      </c>
      <c r="N50" s="137"/>
      <c r="O50" s="136" t="e">
        <f>+IF(#REF!="X",30,0)</f>
        <v>#REF!</v>
      </c>
      <c r="P50" s="137"/>
      <c r="Q50" s="28"/>
      <c r="R50" s="28"/>
      <c r="S50" s="28"/>
      <c r="T50" s="28"/>
      <c r="U50" s="28"/>
      <c r="V50" s="28"/>
      <c r="W50" s="28"/>
      <c r="X50" s="28"/>
      <c r="Y50" s="28"/>
      <c r="Z50" s="28"/>
      <c r="AA50" s="28"/>
      <c r="AB50" s="135"/>
      <c r="AC50" s="20"/>
      <c r="AD50" s="20"/>
      <c r="AE50" s="20"/>
      <c r="AF50" s="20"/>
      <c r="AG50" s="20"/>
    </row>
    <row r="51" spans="2:33" hidden="1" x14ac:dyDescent="0.25">
      <c r="AC51" s="20"/>
      <c r="AD51" s="20"/>
      <c r="AE51" s="20"/>
      <c r="AF51" s="20"/>
      <c r="AG51" s="20"/>
    </row>
    <row r="52" spans="2:33" hidden="1" x14ac:dyDescent="0.25">
      <c r="AC52" s="20"/>
      <c r="AD52" s="20"/>
      <c r="AE52" s="20"/>
      <c r="AF52" s="20"/>
      <c r="AG52" s="20"/>
    </row>
    <row r="53" spans="2:33" hidden="1" x14ac:dyDescent="0.25">
      <c r="AC53" s="20"/>
      <c r="AD53" s="20"/>
      <c r="AE53" s="20"/>
      <c r="AF53" s="20"/>
      <c r="AG53" s="20"/>
    </row>
    <row r="54" spans="2:33" x14ac:dyDescent="0.25"/>
    <row r="55" spans="2:33" x14ac:dyDescent="0.25"/>
    <row r="56" spans="2:33" x14ac:dyDescent="0.25"/>
  </sheetData>
  <mergeCells count="362">
    <mergeCell ref="B47:B48"/>
    <mergeCell ref="C48:D48"/>
    <mergeCell ref="E48:F48"/>
    <mergeCell ref="G48:H48"/>
    <mergeCell ref="I48:J48"/>
    <mergeCell ref="K48:L48"/>
    <mergeCell ref="M48:N48"/>
    <mergeCell ref="O48:P48"/>
    <mergeCell ref="B43:B44"/>
    <mergeCell ref="C44:D44"/>
    <mergeCell ref="E44:F44"/>
    <mergeCell ref="G44:H44"/>
    <mergeCell ref="I44:J44"/>
    <mergeCell ref="K44:L44"/>
    <mergeCell ref="M44:N44"/>
    <mergeCell ref="O44:P44"/>
    <mergeCell ref="B45:B46"/>
    <mergeCell ref="C46:D46"/>
    <mergeCell ref="E46:F46"/>
    <mergeCell ref="G46:H46"/>
    <mergeCell ref="I46:J46"/>
    <mergeCell ref="K46:L46"/>
    <mergeCell ref="M46:N46"/>
    <mergeCell ref="O46:P46"/>
    <mergeCell ref="C42:D42"/>
    <mergeCell ref="E42:F42"/>
    <mergeCell ref="G42:H42"/>
    <mergeCell ref="I42:J42"/>
    <mergeCell ref="K42:L42"/>
    <mergeCell ref="M42:N42"/>
    <mergeCell ref="O42:P42"/>
    <mergeCell ref="B41:B42"/>
    <mergeCell ref="Y39:Y40"/>
    <mergeCell ref="B39:B40"/>
    <mergeCell ref="Q41:Q42"/>
    <mergeCell ref="Z39:Z40"/>
    <mergeCell ref="AA39:AA40"/>
    <mergeCell ref="AB39:AB40"/>
    <mergeCell ref="C40:D40"/>
    <mergeCell ref="E40:F40"/>
    <mergeCell ref="G40:H40"/>
    <mergeCell ref="I40:J40"/>
    <mergeCell ref="K40:L40"/>
    <mergeCell ref="M40:N40"/>
    <mergeCell ref="O40:P40"/>
    <mergeCell ref="Q39:Q40"/>
    <mergeCell ref="R39:R40"/>
    <mergeCell ref="S39:S40"/>
    <mergeCell ref="T39:T40"/>
    <mergeCell ref="U39:U40"/>
    <mergeCell ref="V39:V40"/>
    <mergeCell ref="W39:W40"/>
    <mergeCell ref="X39:X40"/>
    <mergeCell ref="X35:X36"/>
    <mergeCell ref="Z35:Z36"/>
    <mergeCell ref="AB35:AB36"/>
    <mergeCell ref="AB37:AB38"/>
    <mergeCell ref="C38:D38"/>
    <mergeCell ref="E38:F38"/>
    <mergeCell ref="G38:H38"/>
    <mergeCell ref="I38:J38"/>
    <mergeCell ref="K38:L38"/>
    <mergeCell ref="M38:N38"/>
    <mergeCell ref="O38:P38"/>
    <mergeCell ref="V37:V38"/>
    <mergeCell ref="W37:W38"/>
    <mergeCell ref="X37:X38"/>
    <mergeCell ref="Y37:Y38"/>
    <mergeCell ref="Z37:Z38"/>
    <mergeCell ref="AA37:AA38"/>
    <mergeCell ref="S37:S38"/>
    <mergeCell ref="T37:T38"/>
    <mergeCell ref="U37:U38"/>
    <mergeCell ref="B35:B36"/>
    <mergeCell ref="Q35:Q36"/>
    <mergeCell ref="R35:R36"/>
    <mergeCell ref="B33:B34"/>
    <mergeCell ref="Q33:Q34"/>
    <mergeCell ref="R33:R34"/>
    <mergeCell ref="B37:B38"/>
    <mergeCell ref="Q37:Q38"/>
    <mergeCell ref="R37:R38"/>
    <mergeCell ref="C36:D36"/>
    <mergeCell ref="E36:F36"/>
    <mergeCell ref="G36:H36"/>
    <mergeCell ref="I36:J36"/>
    <mergeCell ref="K36:L36"/>
    <mergeCell ref="M36:N36"/>
    <mergeCell ref="O36:P36"/>
    <mergeCell ref="B31:B32"/>
    <mergeCell ref="M32:N32"/>
    <mergeCell ref="O32:P32"/>
    <mergeCell ref="AF28:AF29"/>
    <mergeCell ref="X33:X34"/>
    <mergeCell ref="Z33:Z34"/>
    <mergeCell ref="AB33:AB34"/>
    <mergeCell ref="C34:D34"/>
    <mergeCell ref="E34:F34"/>
    <mergeCell ref="G34:H34"/>
    <mergeCell ref="I34:J34"/>
    <mergeCell ref="Q31:Q32"/>
    <mergeCell ref="R31:R32"/>
    <mergeCell ref="X31:X32"/>
    <mergeCell ref="Z31:Z32"/>
    <mergeCell ref="AB31:AB32"/>
    <mergeCell ref="C32:D32"/>
    <mergeCell ref="E32:F32"/>
    <mergeCell ref="G32:H32"/>
    <mergeCell ref="I32:J32"/>
    <mergeCell ref="K32:L32"/>
    <mergeCell ref="K34:L34"/>
    <mergeCell ref="M34:N34"/>
    <mergeCell ref="O34:P34"/>
    <mergeCell ref="B29:B30"/>
    <mergeCell ref="Q29:Q30"/>
    <mergeCell ref="R29:R30"/>
    <mergeCell ref="X29:X30"/>
    <mergeCell ref="Z29:Z30"/>
    <mergeCell ref="AB29:AB30"/>
    <mergeCell ref="C30:D30"/>
    <mergeCell ref="E30:F30"/>
    <mergeCell ref="B27:B28"/>
    <mergeCell ref="G30:H30"/>
    <mergeCell ref="I30:J30"/>
    <mergeCell ref="K30:L30"/>
    <mergeCell ref="M30:N30"/>
    <mergeCell ref="O30:P30"/>
    <mergeCell ref="AD27:AG27"/>
    <mergeCell ref="C28:D28"/>
    <mergeCell ref="E28:F28"/>
    <mergeCell ref="G28:H28"/>
    <mergeCell ref="I28:J28"/>
    <mergeCell ref="K28:L28"/>
    <mergeCell ref="M28:N28"/>
    <mergeCell ref="O28:P28"/>
    <mergeCell ref="AD28:AD29"/>
    <mergeCell ref="AE28:AE29"/>
    <mergeCell ref="Q27:Q28"/>
    <mergeCell ref="R27:R28"/>
    <mergeCell ref="X27:X28"/>
    <mergeCell ref="Z27:Z28"/>
    <mergeCell ref="AB27:AB28"/>
    <mergeCell ref="AG28:AG29"/>
    <mergeCell ref="Z25:Z26"/>
    <mergeCell ref="AB25:AB26"/>
    <mergeCell ref="C26:D26"/>
    <mergeCell ref="E26:F26"/>
    <mergeCell ref="G26:H26"/>
    <mergeCell ref="I26:J26"/>
    <mergeCell ref="K26:L26"/>
    <mergeCell ref="M26:N26"/>
    <mergeCell ref="O26:P26"/>
    <mergeCell ref="M24:N24"/>
    <mergeCell ref="O24:P24"/>
    <mergeCell ref="B25:B26"/>
    <mergeCell ref="Q25:Q26"/>
    <mergeCell ref="R25:R26"/>
    <mergeCell ref="B23:B24"/>
    <mergeCell ref="Q23:Q24"/>
    <mergeCell ref="R23:R24"/>
    <mergeCell ref="X25:X26"/>
    <mergeCell ref="B21:B22"/>
    <mergeCell ref="Q21:Q22"/>
    <mergeCell ref="R21:R22"/>
    <mergeCell ref="B19:B20"/>
    <mergeCell ref="Q19:Q20"/>
    <mergeCell ref="R19:R20"/>
    <mergeCell ref="X23:X24"/>
    <mergeCell ref="Z23:Z24"/>
    <mergeCell ref="AB23:AB24"/>
    <mergeCell ref="C24:D24"/>
    <mergeCell ref="E24:F24"/>
    <mergeCell ref="G24:H24"/>
    <mergeCell ref="I24:J24"/>
    <mergeCell ref="X21:X22"/>
    <mergeCell ref="Z21:Z22"/>
    <mergeCell ref="AB21:AB22"/>
    <mergeCell ref="C22:D22"/>
    <mergeCell ref="E22:F22"/>
    <mergeCell ref="G22:H22"/>
    <mergeCell ref="I22:J22"/>
    <mergeCell ref="K22:L22"/>
    <mergeCell ref="M22:N22"/>
    <mergeCell ref="O22:P22"/>
    <mergeCell ref="K24:L24"/>
    <mergeCell ref="X19:X20"/>
    <mergeCell ref="Z19:Z20"/>
    <mergeCell ref="AB19:AB20"/>
    <mergeCell ref="C20:D20"/>
    <mergeCell ref="E20:F20"/>
    <mergeCell ref="G20:H20"/>
    <mergeCell ref="I20:J20"/>
    <mergeCell ref="AB17:AB18"/>
    <mergeCell ref="C18:D18"/>
    <mergeCell ref="E18:F18"/>
    <mergeCell ref="G18:H18"/>
    <mergeCell ref="I18:J18"/>
    <mergeCell ref="K18:L18"/>
    <mergeCell ref="M18:N18"/>
    <mergeCell ref="O18:P18"/>
    <mergeCell ref="V17:V18"/>
    <mergeCell ref="W17:W18"/>
    <mergeCell ref="X17:X18"/>
    <mergeCell ref="Y17:Y18"/>
    <mergeCell ref="Z17:Z18"/>
    <mergeCell ref="AA17:AA18"/>
    <mergeCell ref="K20:L20"/>
    <mergeCell ref="M20:N20"/>
    <mergeCell ref="O20:P20"/>
    <mergeCell ref="B17:B18"/>
    <mergeCell ref="Q17:Q18"/>
    <mergeCell ref="R17:R18"/>
    <mergeCell ref="S17:S18"/>
    <mergeCell ref="T17:T18"/>
    <mergeCell ref="U17:U18"/>
    <mergeCell ref="AB15:AB16"/>
    <mergeCell ref="C16:D16"/>
    <mergeCell ref="E16:F16"/>
    <mergeCell ref="G16:H16"/>
    <mergeCell ref="I16:J16"/>
    <mergeCell ref="K16:L16"/>
    <mergeCell ref="M16:N16"/>
    <mergeCell ref="O16:P16"/>
    <mergeCell ref="V15:V16"/>
    <mergeCell ref="W15:W16"/>
    <mergeCell ref="X15:X16"/>
    <mergeCell ref="Y15:Y16"/>
    <mergeCell ref="Z15:Z16"/>
    <mergeCell ref="AA15:AA16"/>
    <mergeCell ref="B15:B16"/>
    <mergeCell ref="Q15:Q16"/>
    <mergeCell ref="R15:R16"/>
    <mergeCell ref="S15:S16"/>
    <mergeCell ref="T15:T16"/>
    <mergeCell ref="U15:U16"/>
    <mergeCell ref="AB12:AB13"/>
    <mergeCell ref="C13:D13"/>
    <mergeCell ref="E13:F13"/>
    <mergeCell ref="G13:H13"/>
    <mergeCell ref="I13:J13"/>
    <mergeCell ref="K13:L13"/>
    <mergeCell ref="M13:N13"/>
    <mergeCell ref="O13:P13"/>
    <mergeCell ref="V12:V13"/>
    <mergeCell ref="W12:W13"/>
    <mergeCell ref="X12:X13"/>
    <mergeCell ref="Y12:Y13"/>
    <mergeCell ref="Z12:Z13"/>
    <mergeCell ref="AA12:AA13"/>
    <mergeCell ref="B12:B13"/>
    <mergeCell ref="Q12:Q13"/>
    <mergeCell ref="R12:R13"/>
    <mergeCell ref="S12:S13"/>
    <mergeCell ref="T12:T13"/>
    <mergeCell ref="U12:U13"/>
    <mergeCell ref="AF10:AF11"/>
    <mergeCell ref="AG10:AG11"/>
    <mergeCell ref="C11:D11"/>
    <mergeCell ref="E11:F11"/>
    <mergeCell ref="G11:H11"/>
    <mergeCell ref="I11:J11"/>
    <mergeCell ref="K11:L11"/>
    <mergeCell ref="M11:N11"/>
    <mergeCell ref="O11:P11"/>
    <mergeCell ref="Y10:Y11"/>
    <mergeCell ref="Z10:Z11"/>
    <mergeCell ref="AA10:AA11"/>
    <mergeCell ref="AB10:AB11"/>
    <mergeCell ref="AD10:AD11"/>
    <mergeCell ref="AE10:AE11"/>
    <mergeCell ref="AD9:AG9"/>
    <mergeCell ref="B10:B11"/>
    <mergeCell ref="Q10:Q11"/>
    <mergeCell ref="R10:R11"/>
    <mergeCell ref="S10:S11"/>
    <mergeCell ref="T10:T11"/>
    <mergeCell ref="U10:U11"/>
    <mergeCell ref="V10:V11"/>
    <mergeCell ref="W10:W11"/>
    <mergeCell ref="X10:X11"/>
    <mergeCell ref="AB8:AB9"/>
    <mergeCell ref="C9:D9"/>
    <mergeCell ref="E9:F9"/>
    <mergeCell ref="G9:H9"/>
    <mergeCell ref="I9:J9"/>
    <mergeCell ref="K9:L9"/>
    <mergeCell ref="M9:N9"/>
    <mergeCell ref="O9:P9"/>
    <mergeCell ref="V8:V9"/>
    <mergeCell ref="W8:W9"/>
    <mergeCell ref="X8:X9"/>
    <mergeCell ref="Y8:Y9"/>
    <mergeCell ref="Z8:Z9"/>
    <mergeCell ref="AA8:AA9"/>
    <mergeCell ref="B8:B9"/>
    <mergeCell ref="Q8:Q9"/>
    <mergeCell ref="R8:R9"/>
    <mergeCell ref="S8:S9"/>
    <mergeCell ref="T8:T9"/>
    <mergeCell ref="U8:U9"/>
    <mergeCell ref="AB6:AB7"/>
    <mergeCell ref="C7:D7"/>
    <mergeCell ref="E7:F7"/>
    <mergeCell ref="G7:H7"/>
    <mergeCell ref="I7:J7"/>
    <mergeCell ref="K7:L7"/>
    <mergeCell ref="M7:N7"/>
    <mergeCell ref="O7:P7"/>
    <mergeCell ref="V6:V7"/>
    <mergeCell ref="W6:W7"/>
    <mergeCell ref="X6:X7"/>
    <mergeCell ref="Y6:Y7"/>
    <mergeCell ref="Z6:Z7"/>
    <mergeCell ref="AA6:AA7"/>
    <mergeCell ref="B6:B7"/>
    <mergeCell ref="Q6:Q7"/>
    <mergeCell ref="R6:R7"/>
    <mergeCell ref="S6:S7"/>
    <mergeCell ref="AA3:AA5"/>
    <mergeCell ref="AB3:AB5"/>
    <mergeCell ref="AD3:AD4"/>
    <mergeCell ref="R3:R5"/>
    <mergeCell ref="S3:S5"/>
    <mergeCell ref="T3:T5"/>
    <mergeCell ref="U3:U5"/>
    <mergeCell ref="V3:V5"/>
    <mergeCell ref="W3:W5"/>
    <mergeCell ref="U19:U20"/>
    <mergeCell ref="B2:AB2"/>
    <mergeCell ref="AD2:AE2"/>
    <mergeCell ref="C3:D3"/>
    <mergeCell ref="E3:F3"/>
    <mergeCell ref="G3:H3"/>
    <mergeCell ref="I3:J3"/>
    <mergeCell ref="K3:L3"/>
    <mergeCell ref="M3:N3"/>
    <mergeCell ref="O3:P3"/>
    <mergeCell ref="Q3:Q5"/>
    <mergeCell ref="T6:T7"/>
    <mergeCell ref="U6:U7"/>
    <mergeCell ref="AE3:AE4"/>
    <mergeCell ref="C4:D4"/>
    <mergeCell ref="E4:F4"/>
    <mergeCell ref="G4:H4"/>
    <mergeCell ref="I4:J4"/>
    <mergeCell ref="K4:L4"/>
    <mergeCell ref="M4:N4"/>
    <mergeCell ref="O4:P4"/>
    <mergeCell ref="X3:X5"/>
    <mergeCell ref="Y3:Y5"/>
    <mergeCell ref="Z3:Z5"/>
    <mergeCell ref="Q43:Q44"/>
    <mergeCell ref="Q45:Q46"/>
    <mergeCell ref="Q47:Q48"/>
    <mergeCell ref="S21:S22"/>
    <mergeCell ref="S23:S24"/>
    <mergeCell ref="S25:S26"/>
    <mergeCell ref="S27:S28"/>
    <mergeCell ref="S29:S30"/>
    <mergeCell ref="S31:S32"/>
    <mergeCell ref="S33:S34"/>
    <mergeCell ref="S35:S36"/>
  </mergeCells>
  <conditionalFormatting sqref="C1 E1 G1 I1 K1 M1 O1 C3:C48 E3:E48 G3:G48 I3:I48 K3:K48 M3:M48 O3:O48 C50:C1048576 E50:E1048576 G50:G1048576 I50:I1048576 K50:K1048576 M50:M1048576 O50:O1048576">
    <cfRule type="cellIs" dxfId="1" priority="40" operator="equal">
      <formula>"X"</formula>
    </cfRule>
  </conditionalFormatting>
  <conditionalFormatting sqref="D1 F1 H1 J1 L1 N1 P1 P3:P33 D3:D48 F3:F48 H3:H48 J3:J48 L3:L48 N3:N48 P35:P48 D50:D1048576 F50:F1048576 H50:H1048576 J50:J1048576 L50:L1048576 N50:N1048576 P50:P1048576">
    <cfRule type="cellIs" dxfId="0" priority="39" operator="equal">
      <formula>"X"</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9"/>
  <sheetViews>
    <sheetView workbookViewId="0">
      <pane ySplit="3" topLeftCell="A4" activePane="bottomLeft" state="frozen"/>
      <selection activeCell="H31" sqref="H31:H32"/>
      <selection pane="bottomLeft" activeCell="H31" sqref="H31"/>
    </sheetView>
  </sheetViews>
  <sheetFormatPr baseColWidth="10" defaultColWidth="0" defaultRowHeight="14.5" customHeight="1" zeroHeight="1" x14ac:dyDescent="0.25"/>
  <cols>
    <col min="1" max="1" width="10.25" customWidth="1"/>
    <col min="2" max="2" width="13.25" customWidth="1"/>
    <col min="3" max="3" width="42.25" customWidth="1"/>
    <col min="4" max="4" width="36.5" customWidth="1"/>
    <col min="5" max="5" width="8" customWidth="1"/>
    <col min="6" max="6" width="10.25" customWidth="1"/>
    <col min="7" max="16384" width="10.25" hidden="1"/>
  </cols>
  <sheetData>
    <row r="1" spans="1:6" ht="14" thickBot="1" x14ac:dyDescent="0.3">
      <c r="A1" s="20"/>
      <c r="B1" s="20"/>
      <c r="C1" s="20"/>
      <c r="D1" s="20"/>
      <c r="E1" s="20"/>
      <c r="F1" s="20"/>
    </row>
    <row r="2" spans="1:6" ht="31.5" customHeight="1" thickTop="1" thickBot="1" x14ac:dyDescent="0.35">
      <c r="A2" s="20"/>
      <c r="B2" s="268" t="s">
        <v>135</v>
      </c>
      <c r="C2" s="268"/>
      <c r="D2" s="268"/>
      <c r="E2" s="268"/>
      <c r="F2" s="20"/>
    </row>
    <row r="3" spans="1:6" thickTop="1" thickBot="1" x14ac:dyDescent="0.3">
      <c r="A3" s="20"/>
      <c r="B3" s="29" t="s">
        <v>144</v>
      </c>
      <c r="C3" s="29" t="s">
        <v>145</v>
      </c>
      <c r="D3" s="29" t="s">
        <v>217</v>
      </c>
      <c r="E3" s="29" t="s">
        <v>146</v>
      </c>
      <c r="F3" s="20"/>
    </row>
    <row r="4" spans="1:6" ht="28.5" thickTop="1" thickBot="1" x14ac:dyDescent="0.3">
      <c r="A4" s="20"/>
      <c r="B4" s="30" t="s">
        <v>218</v>
      </c>
      <c r="C4" s="22" t="s">
        <v>219</v>
      </c>
      <c r="D4" s="22" t="s">
        <v>220</v>
      </c>
      <c r="E4" s="23">
        <v>1</v>
      </c>
      <c r="F4" s="20"/>
    </row>
    <row r="5" spans="1:6" ht="28.5" thickTop="1" thickBot="1" x14ac:dyDescent="0.3">
      <c r="A5" s="20"/>
      <c r="B5" s="30" t="s">
        <v>221</v>
      </c>
      <c r="C5" s="22" t="s">
        <v>222</v>
      </c>
      <c r="D5" s="22" t="s">
        <v>223</v>
      </c>
      <c r="E5" s="23">
        <v>2</v>
      </c>
      <c r="F5" s="20"/>
    </row>
    <row r="6" spans="1:6" ht="28.5" thickTop="1" thickBot="1" x14ac:dyDescent="0.3">
      <c r="A6" s="20"/>
      <c r="B6" s="30" t="s">
        <v>224</v>
      </c>
      <c r="C6" s="22" t="s">
        <v>225</v>
      </c>
      <c r="D6" s="22" t="s">
        <v>226</v>
      </c>
      <c r="E6" s="23">
        <v>3</v>
      </c>
      <c r="F6" s="20"/>
    </row>
    <row r="7" spans="1:6" ht="28.5" thickTop="1" thickBot="1" x14ac:dyDescent="0.3">
      <c r="A7" s="20"/>
      <c r="B7" s="30" t="s">
        <v>227</v>
      </c>
      <c r="C7" s="22" t="s">
        <v>228</v>
      </c>
      <c r="D7" s="22" t="s">
        <v>229</v>
      </c>
      <c r="E7" s="23">
        <v>4</v>
      </c>
      <c r="F7" s="20"/>
    </row>
    <row r="8" spans="1:6" ht="55.5" thickTop="1" thickBot="1" x14ac:dyDescent="0.3">
      <c r="A8" s="20"/>
      <c r="B8" s="30" t="s">
        <v>230</v>
      </c>
      <c r="C8" s="22" t="s">
        <v>231</v>
      </c>
      <c r="D8" s="22" t="s">
        <v>232</v>
      </c>
      <c r="E8" s="23">
        <v>5</v>
      </c>
      <c r="F8" s="20"/>
    </row>
    <row r="9" spans="1:6" s="20" customFormat="1" ht="14" thickTop="1" x14ac:dyDescent="0.25"/>
  </sheetData>
  <mergeCells count="1">
    <mergeCell ref="B2:E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4"/>
  <sheetViews>
    <sheetView topLeftCell="A5" zoomScale="90" zoomScaleNormal="90" workbookViewId="0">
      <selection activeCell="H5" sqref="H5"/>
    </sheetView>
  </sheetViews>
  <sheetFormatPr baseColWidth="10" defaultColWidth="11.33203125" defaultRowHeight="13.5" x14ac:dyDescent="0.25"/>
  <cols>
    <col min="1" max="1" width="18.75" style="1" customWidth="1"/>
    <col min="2" max="2" width="21.5" style="1" customWidth="1"/>
    <col min="3" max="3" width="9.58203125" style="1" customWidth="1"/>
    <col min="4" max="6" width="21.33203125" style="1" customWidth="1"/>
    <col min="7" max="8" width="17.83203125" style="1" customWidth="1"/>
    <col min="9" max="16384" width="11.33203125" style="1"/>
  </cols>
  <sheetData>
    <row r="1" spans="1:8" ht="24" customHeight="1" x14ac:dyDescent="0.25"/>
    <row r="2" spans="1:8" ht="24" customHeight="1" x14ac:dyDescent="0.25"/>
    <row r="3" spans="1:8" ht="24" customHeight="1" x14ac:dyDescent="0.35">
      <c r="D3" s="269"/>
      <c r="E3" s="269"/>
      <c r="F3" s="269"/>
    </row>
    <row r="4" spans="1:8" ht="24" customHeight="1" x14ac:dyDescent="0.35">
      <c r="D4" s="269" t="s">
        <v>34</v>
      </c>
      <c r="E4" s="269"/>
      <c r="F4" s="269"/>
    </row>
    <row r="5" spans="1:8" ht="24" customHeight="1" x14ac:dyDescent="0.25"/>
    <row r="6" spans="1:8" ht="56.25" customHeight="1" x14ac:dyDescent="0.25">
      <c r="B6" s="9" t="s">
        <v>233</v>
      </c>
      <c r="C6" s="39">
        <v>5</v>
      </c>
      <c r="D6" s="12"/>
      <c r="E6" s="12"/>
      <c r="F6" s="12"/>
      <c r="H6" s="7" t="s">
        <v>27</v>
      </c>
    </row>
    <row r="7" spans="1:8" ht="56.25" customHeight="1" x14ac:dyDescent="0.25">
      <c r="B7" s="9" t="s">
        <v>227</v>
      </c>
      <c r="C7" s="39">
        <v>4</v>
      </c>
      <c r="D7" s="96"/>
      <c r="E7" s="96"/>
      <c r="F7" s="12"/>
      <c r="H7" s="97" t="s">
        <v>1</v>
      </c>
    </row>
    <row r="8" spans="1:8" ht="56.25" customHeight="1" x14ac:dyDescent="0.25">
      <c r="A8" s="6" t="s">
        <v>33</v>
      </c>
      <c r="B8" s="9" t="s">
        <v>224</v>
      </c>
      <c r="C8" s="39">
        <v>3</v>
      </c>
      <c r="D8" s="96"/>
      <c r="E8" s="96"/>
      <c r="F8" s="12"/>
      <c r="H8" s="3" t="s">
        <v>2</v>
      </c>
    </row>
    <row r="9" spans="1:8" ht="56.25" customHeight="1" x14ac:dyDescent="0.25">
      <c r="B9" s="9" t="s">
        <v>221</v>
      </c>
      <c r="C9" s="39">
        <v>2</v>
      </c>
      <c r="D9" s="14"/>
      <c r="E9" s="96"/>
      <c r="F9" s="12"/>
      <c r="H9" s="4" t="s">
        <v>0</v>
      </c>
    </row>
    <row r="10" spans="1:8" ht="56.25" customHeight="1" x14ac:dyDescent="0.25">
      <c r="B10" s="9" t="s">
        <v>234</v>
      </c>
      <c r="C10" s="39">
        <v>1</v>
      </c>
      <c r="D10" s="14"/>
      <c r="E10" s="96"/>
      <c r="F10" s="12"/>
    </row>
    <row r="11" spans="1:8" x14ac:dyDescent="0.25">
      <c r="D11" s="5">
        <v>3</v>
      </c>
      <c r="E11" s="5">
        <v>4</v>
      </c>
      <c r="F11" s="5">
        <v>5</v>
      </c>
    </row>
    <row r="12" spans="1:8" x14ac:dyDescent="0.25">
      <c r="D12" s="5" t="s">
        <v>2</v>
      </c>
      <c r="E12" s="5" t="s">
        <v>22</v>
      </c>
      <c r="F12" s="5" t="s">
        <v>21</v>
      </c>
    </row>
    <row r="13" spans="1:8" x14ac:dyDescent="0.25">
      <c r="D13" s="5"/>
      <c r="E13" s="5"/>
      <c r="F13" s="5"/>
    </row>
    <row r="14" spans="1:8" ht="14" x14ac:dyDescent="0.3">
      <c r="D14" s="270"/>
      <c r="E14" s="270"/>
      <c r="F14" s="270"/>
    </row>
  </sheetData>
  <mergeCells count="3">
    <mergeCell ref="D3:F3"/>
    <mergeCell ref="D14:F14"/>
    <mergeCell ref="D4:F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vt:i4>
      </vt:variant>
    </vt:vector>
  </HeadingPairs>
  <TitlesOfParts>
    <vt:vector size="12" baseType="lpstr">
      <vt:lpstr>FORMATO RIESGO</vt:lpstr>
      <vt:lpstr>PORTADA</vt:lpstr>
      <vt:lpstr>RIESGOS DE CORRUPCION</vt:lpstr>
      <vt:lpstr>INSTRUCTIVO</vt:lpstr>
      <vt:lpstr>Tabla de Valoracion</vt:lpstr>
      <vt:lpstr>EVALUACIÓN DEL RIESGO</vt:lpstr>
      <vt:lpstr>EVALUACIÓN DEL CONTROL</vt:lpstr>
      <vt:lpstr>TABLA DE PROBABILIDADES</vt:lpstr>
      <vt:lpstr>Mapa Inherente RC</vt:lpstr>
      <vt:lpstr>Mapa Residual RC</vt:lpstr>
      <vt:lpstr>Criterios</vt:lpstr>
      <vt:lpstr>INSTRUCTIVO!Área_de_impresión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LAURA VALENTINA BUENO NIÑO</cp:lastModifiedBy>
  <cp:lastPrinted>2024-09-19T17:05:03Z</cp:lastPrinted>
  <dcterms:created xsi:type="dcterms:W3CDTF">2013-05-09T21:35:12Z</dcterms:created>
  <dcterms:modified xsi:type="dcterms:W3CDTF">2025-05-30T15:32:51Z</dcterms:modified>
</cp:coreProperties>
</file>